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\Users$\ostewman\Desktop\"/>
    </mc:Choice>
  </mc:AlternateContent>
  <bookViews>
    <workbookView xWindow="0" yWindow="0" windowWidth="28800" windowHeight="12435" activeTab="4"/>
  </bookViews>
  <sheets>
    <sheet name="Recommendations" sheetId="8" r:id="rId1"/>
    <sheet name="Summary" sheetId="10" r:id="rId2"/>
    <sheet name="Surplus Sharing" sheetId="5" r:id="rId3"/>
    <sheet name="Sheet1" sheetId="11" r:id="rId4"/>
    <sheet name="Longevity Supplement" sheetId="1" r:id="rId5"/>
  </sheets>
  <calcPr calcId="152511"/>
</workbook>
</file>

<file path=xl/calcChain.xml><?xml version="1.0" encoding="utf-8"?>
<calcChain xmlns="http://schemas.openxmlformats.org/spreadsheetml/2006/main">
  <c r="P29" i="8" l="1"/>
  <c r="Q19" i="8"/>
  <c r="Q12" i="8"/>
  <c r="P12" i="8"/>
  <c r="E55" i="5"/>
  <c r="P16" i="8"/>
  <c r="P8" i="8"/>
  <c r="P23" i="8"/>
  <c r="P22" i="8"/>
  <c r="P33" i="8"/>
  <c r="P20" i="8"/>
  <c r="D47" i="5"/>
  <c r="D46" i="5"/>
  <c r="E46" i="5"/>
  <c r="F46" i="5"/>
  <c r="D48" i="5"/>
  <c r="D45" i="5"/>
  <c r="D44" i="5"/>
  <c r="D43" i="5"/>
  <c r="D42" i="5"/>
  <c r="E42" i="5"/>
  <c r="D50" i="5"/>
  <c r="D41" i="5"/>
  <c r="D40" i="5"/>
  <c r="E40" i="5"/>
  <c r="F40" i="5"/>
  <c r="D49" i="5"/>
  <c r="D39" i="5"/>
  <c r="D38" i="5"/>
  <c r="D37" i="5"/>
  <c r="E37" i="5"/>
  <c r="D36" i="5"/>
  <c r="D35" i="5"/>
  <c r="D34" i="5"/>
  <c r="D33" i="5"/>
  <c r="E33" i="5"/>
  <c r="D32" i="5"/>
  <c r="D31" i="5"/>
  <c r="D30" i="5"/>
  <c r="D29" i="5"/>
  <c r="E29" i="5"/>
  <c r="D28" i="5"/>
  <c r="D27" i="5"/>
  <c r="D26" i="5"/>
  <c r="D25" i="5"/>
  <c r="E25" i="5"/>
  <c r="D24" i="5"/>
  <c r="D23" i="5"/>
  <c r="D22" i="5"/>
  <c r="D21" i="5"/>
  <c r="D20" i="5"/>
  <c r="D19" i="5"/>
  <c r="D18" i="5"/>
  <c r="D17" i="5"/>
  <c r="E17" i="5"/>
  <c r="F48" i="5"/>
  <c r="L19" i="8"/>
  <c r="J19" i="8"/>
  <c r="E44" i="5"/>
  <c r="F44" i="5"/>
  <c r="E18" i="5"/>
  <c r="E19" i="5"/>
  <c r="F19" i="5"/>
  <c r="E20" i="5"/>
  <c r="F20" i="5"/>
  <c r="E21" i="5"/>
  <c r="F21" i="5"/>
  <c r="E22" i="5"/>
  <c r="F22" i="5"/>
  <c r="E23" i="5"/>
  <c r="Q14" i="8"/>
  <c r="E24" i="5"/>
  <c r="F24" i="5"/>
  <c r="E26" i="5"/>
  <c r="F26" i="5"/>
  <c r="E27" i="5"/>
  <c r="F27" i="5"/>
  <c r="E28" i="5"/>
  <c r="Q6" i="8"/>
  <c r="E30" i="5"/>
  <c r="F30" i="5"/>
  <c r="E31" i="5"/>
  <c r="E32" i="5"/>
  <c r="Q31" i="8"/>
  <c r="E34" i="5"/>
  <c r="F34" i="5"/>
  <c r="E35" i="5"/>
  <c r="F35" i="5"/>
  <c r="E36" i="5"/>
  <c r="F36" i="5"/>
  <c r="E38" i="5"/>
  <c r="F38" i="5"/>
  <c r="E39" i="5"/>
  <c r="F39" i="5"/>
  <c r="E41" i="5"/>
  <c r="Q16" i="8"/>
  <c r="F41" i="5"/>
  <c r="E43" i="5"/>
  <c r="F43" i="5"/>
  <c r="E45" i="5"/>
  <c r="F45" i="5"/>
  <c r="P30" i="8"/>
  <c r="T4" i="8"/>
  <c r="T5" i="8"/>
  <c r="T6" i="8"/>
  <c r="T13" i="8"/>
  <c r="T14" i="8"/>
  <c r="T15" i="8"/>
  <c r="T8" i="8"/>
  <c r="T9" i="8"/>
  <c r="T10" i="8"/>
  <c r="T11" i="8"/>
  <c r="T16" i="8"/>
  <c r="T17" i="8"/>
  <c r="T18" i="8"/>
  <c r="T20" i="8"/>
  <c r="T21" i="8"/>
  <c r="T26" i="8"/>
  <c r="T22" i="8"/>
  <c r="T23" i="8"/>
  <c r="T24" i="8"/>
  <c r="T25" i="8"/>
  <c r="T29" i="8"/>
  <c r="T27" i="8"/>
  <c r="T28" i="8"/>
  <c r="T31" i="8"/>
  <c r="T32" i="8"/>
  <c r="T33" i="8"/>
  <c r="T34" i="8"/>
  <c r="T35" i="8"/>
  <c r="T36" i="8"/>
  <c r="T37" i="8"/>
  <c r="J30" i="8"/>
  <c r="T12" i="8"/>
  <c r="J4" i="8"/>
  <c r="L4" i="8"/>
  <c r="J5" i="8"/>
  <c r="L5" i="8"/>
  <c r="J6" i="8"/>
  <c r="L6" i="8"/>
  <c r="J13" i="8"/>
  <c r="L13" i="8"/>
  <c r="J14" i="8"/>
  <c r="L14" i="8"/>
  <c r="J15" i="8"/>
  <c r="L15" i="8"/>
  <c r="J7" i="8"/>
  <c r="L7" i="8"/>
  <c r="J8" i="8"/>
  <c r="L8" i="8"/>
  <c r="J9" i="8"/>
  <c r="L9" i="8"/>
  <c r="J10" i="8"/>
  <c r="L10" i="8"/>
  <c r="J11" i="8"/>
  <c r="L11" i="8"/>
  <c r="L12" i="8"/>
  <c r="J16" i="8"/>
  <c r="L16" i="8"/>
  <c r="J17" i="8"/>
  <c r="L17" i="8"/>
  <c r="J18" i="8"/>
  <c r="L18" i="8"/>
  <c r="J20" i="8"/>
  <c r="L20" i="8"/>
  <c r="J21" i="8"/>
  <c r="L21" i="8"/>
  <c r="J26" i="8"/>
  <c r="L26" i="8"/>
  <c r="J22" i="8"/>
  <c r="L22" i="8"/>
  <c r="J23" i="8"/>
  <c r="L23" i="8"/>
  <c r="J24" i="8"/>
  <c r="L24" i="8"/>
  <c r="J25" i="8"/>
  <c r="L25" i="8"/>
  <c r="J29" i="8"/>
  <c r="L29" i="8"/>
  <c r="J27" i="8"/>
  <c r="L27" i="8"/>
  <c r="J28" i="8"/>
  <c r="L28" i="8"/>
  <c r="J31" i="8"/>
  <c r="L31" i="8"/>
  <c r="J32" i="8"/>
  <c r="L32" i="8"/>
  <c r="J33" i="8"/>
  <c r="L33" i="8"/>
  <c r="J34" i="8"/>
  <c r="L34" i="8"/>
  <c r="J35" i="8"/>
  <c r="L35" i="8"/>
  <c r="J36" i="8"/>
  <c r="L36" i="8"/>
  <c r="J37" i="8"/>
  <c r="D39" i="8"/>
  <c r="E39" i="8"/>
  <c r="F39" i="8"/>
  <c r="K39" i="8"/>
  <c r="P37" i="8"/>
  <c r="P21" i="8"/>
  <c r="E47" i="5"/>
  <c r="Q18" i="8"/>
  <c r="Q10" i="8"/>
  <c r="Q4" i="8"/>
  <c r="Q21" i="8"/>
  <c r="F31" i="5"/>
  <c r="Q23" i="8"/>
  <c r="F18" i="5"/>
  <c r="Q32" i="8"/>
  <c r="Q27" i="8"/>
  <c r="Q24" i="8"/>
  <c r="Q22" i="8"/>
  <c r="Q5" i="8"/>
  <c r="F50" i="5"/>
  <c r="Q28" i="8"/>
  <c r="Q8" i="8"/>
  <c r="F49" i="5"/>
  <c r="Q30" i="8"/>
  <c r="Q7" i="8"/>
  <c r="F28" i="5"/>
  <c r="Q35" i="8"/>
  <c r="Q13" i="8"/>
  <c r="Q36" i="8"/>
  <c r="T7" i="8"/>
  <c r="L41" i="8"/>
  <c r="J41" i="8"/>
  <c r="T39" i="8"/>
  <c r="R39" i="8"/>
  <c r="R41" i="8"/>
  <c r="P28" i="8"/>
  <c r="P32" i="8"/>
  <c r="P11" i="8"/>
  <c r="F25" i="5"/>
  <c r="Q26" i="8"/>
  <c r="F37" i="5"/>
  <c r="Q37" i="8"/>
  <c r="Q34" i="8"/>
  <c r="F29" i="5"/>
  <c r="F33" i="5"/>
  <c r="Q15" i="8"/>
  <c r="Q11" i="8"/>
  <c r="F47" i="5"/>
  <c r="F23" i="5"/>
  <c r="Q33" i="8"/>
  <c r="F32" i="5"/>
  <c r="Q20" i="8"/>
  <c r="Q17" i="8"/>
  <c r="F17" i="5"/>
  <c r="Q29" i="8"/>
  <c r="F42" i="5"/>
  <c r="F53" i="5"/>
  <c r="Q9" i="8"/>
  <c r="Q39" i="8"/>
  <c r="E53" i="5"/>
  <c r="Q25" i="8"/>
  <c r="F56" i="5"/>
  <c r="Q41" i="8"/>
  <c r="C9" i="10"/>
  <c r="Q40" i="8"/>
  <c r="P25" i="8"/>
  <c r="P10" i="8"/>
  <c r="P26" i="8"/>
  <c r="P34" i="8" l="1"/>
  <c r="P15" i="8"/>
  <c r="P35" i="8"/>
  <c r="P36" i="8"/>
  <c r="P24" i="8"/>
  <c r="P13" i="8"/>
  <c r="P19" i="8"/>
  <c r="P9" i="8"/>
  <c r="P27" i="8"/>
  <c r="P14" i="8"/>
  <c r="P17" i="8"/>
  <c r="P7" i="8"/>
  <c r="P4" i="8"/>
  <c r="P18" i="8"/>
  <c r="P31" i="8"/>
  <c r="P5" i="8"/>
  <c r="P6" i="8"/>
  <c r="C11" i="10"/>
  <c r="C13" i="10" s="1"/>
  <c r="C16" i="10" s="1"/>
  <c r="P41" i="8"/>
  <c r="P39" i="8" l="1"/>
  <c r="P40" i="8" s="1"/>
  <c r="Q44" i="8"/>
</calcChain>
</file>

<file path=xl/sharedStrings.xml><?xml version="1.0" encoding="utf-8"?>
<sst xmlns="http://schemas.openxmlformats.org/spreadsheetml/2006/main" count="281" uniqueCount="182">
  <si>
    <t>Employee Name</t>
  </si>
  <si>
    <t>Cost to Town</t>
  </si>
  <si>
    <t>FICA &amp; retirement contributions</t>
  </si>
  <si>
    <t>Total Full-Time Payroll</t>
  </si>
  <si>
    <t>Job Title</t>
  </si>
  <si>
    <t>Midpoint</t>
  </si>
  <si>
    <t>Human Resources Director</t>
  </si>
  <si>
    <t>Grade</t>
  </si>
  <si>
    <t>Current Salary</t>
  </si>
  <si>
    <t>Public Works Director</t>
  </si>
  <si>
    <t>Water System Supervisor</t>
  </si>
  <si>
    <t>Finance Director</t>
  </si>
  <si>
    <t>Fire Chief / Emergency Mgt. Dir.</t>
  </si>
  <si>
    <t>Customer Service Supervisor</t>
  </si>
  <si>
    <t>Street Maintenance Supervisor</t>
  </si>
  <si>
    <t>Hydroelectric Plant / 
Wastewater Collection System Supervisor</t>
  </si>
  <si>
    <t>Zoning and Code Enforcement Administrator</t>
  </si>
  <si>
    <t>Police Chief</t>
  </si>
  <si>
    <t>Environmental Management Officer</t>
  </si>
  <si>
    <t>Maintenance Technician</t>
  </si>
  <si>
    <t>Community Development Director</t>
  </si>
  <si>
    <t>Customer Service/Collections Clerk</t>
  </si>
  <si>
    <t>Town Clerk</t>
  </si>
  <si>
    <t>Lake Operations Director</t>
  </si>
  <si>
    <t>Parks &amp; Recreation Supervisor</t>
  </si>
  <si>
    <t>Police Sergeant</t>
  </si>
  <si>
    <t>Assistant Fire Chief/Asst. Emerg. Mgmt. Dir.</t>
  </si>
  <si>
    <t>Town Manager</t>
  </si>
  <si>
    <t>Police Corporal</t>
  </si>
  <si>
    <t>Police Officer</t>
  </si>
  <si>
    <t>Firefighter</t>
  </si>
  <si>
    <t>Fire Lieutenant</t>
  </si>
  <si>
    <t>Accountant II</t>
  </si>
  <si>
    <t>No grade/classification plan</t>
  </si>
  <si>
    <t>Bonsu Cost as % of Payroll</t>
  </si>
  <si>
    <t>Kat Canant</t>
  </si>
  <si>
    <t>Michelle Jolley</t>
  </si>
  <si>
    <t>Gunar Harris</t>
  </si>
  <si>
    <t>Linda Ward</t>
  </si>
  <si>
    <t>Chuck Ammacher</t>
  </si>
  <si>
    <t>Melodie Potter</t>
  </si>
  <si>
    <t>Carl Umphlett</t>
  </si>
  <si>
    <t>Bryan Toney</t>
  </si>
  <si>
    <t>Chris Melton</t>
  </si>
  <si>
    <t>Brandon Boone</t>
  </si>
  <si>
    <t>Ryan Bailey</t>
  </si>
  <si>
    <t>Aaron Collins</t>
  </si>
  <si>
    <t>Casey McIntosh</t>
  </si>
  <si>
    <t>Mark Pobanz</t>
  </si>
  <si>
    <t>Donnie McCraw</t>
  </si>
  <si>
    <t>Sheila Spicer</t>
  </si>
  <si>
    <t>Clint Calhoun</t>
  </si>
  <si>
    <t>Andi Calvert</t>
  </si>
  <si>
    <t>Glen Gittens</t>
  </si>
  <si>
    <t>Chris Shuford</t>
  </si>
  <si>
    <t>Anita Taylor</t>
  </si>
  <si>
    <t>Dustin Waycaster</t>
  </si>
  <si>
    <t>Dean Givens</t>
  </si>
  <si>
    <t>Tony Hennessee</t>
  </si>
  <si>
    <t>Ron Morgan</t>
  </si>
  <si>
    <t>Shannon Baldwin</t>
  </si>
  <si>
    <t>Sam Karr</t>
  </si>
  <si>
    <t>Sean Humphries</t>
  </si>
  <si>
    <t>Chris Braund</t>
  </si>
  <si>
    <t>Years of Service</t>
  </si>
  <si>
    <t>As of Date</t>
  </si>
  <si>
    <t>N/A</t>
  </si>
  <si>
    <t>Effective Date (for service years)</t>
  </si>
  <si>
    <t>Bonus Amount</t>
  </si>
  <si>
    <t>TOTAL BONUS</t>
  </si>
  <si>
    <t>Minimum</t>
  </si>
  <si>
    <t>Maximum</t>
  </si>
  <si>
    <t xml:space="preserve">SALARY RANGE
- CLASSIFICATION PLAN - </t>
  </si>
  <si>
    <t>Date of Hire</t>
  </si>
  <si>
    <t>TOTAL</t>
  </si>
  <si>
    <t>TOWN OF LAKE LURE</t>
  </si>
  <si>
    <t>Average Years of Service</t>
  </si>
  <si>
    <t>begins at 1 year</t>
  </si>
  <si>
    <t>If a budget surplus is achieved through higher revenues or lower expenditures than planned,</t>
  </si>
  <si>
    <t>the surplus will be automatically added to the fund balance (reserves).</t>
  </si>
  <si>
    <t xml:space="preserve">Council will then establish a bonus pool, funded from the surplus, to be paid to </t>
  </si>
  <si>
    <t>all active staff in good standing.  This is in recognition of their individual and collective</t>
  </si>
  <si>
    <t>efforts to deliver a budget surplus.</t>
  </si>
  <si>
    <t>Amount of Performance Bonus per person</t>
  </si>
  <si>
    <t>% of Salary Range
0 = minimum
50 = midpoint
100 = max</t>
  </si>
  <si>
    <t>Overtime or Comp Time Payout</t>
  </si>
  <si>
    <t>Salary Adjustment</t>
  </si>
  <si>
    <t>New Salary</t>
  </si>
  <si>
    <t>Longevity Bonus</t>
  </si>
  <si>
    <t>Budget Surplus Bonus</t>
  </si>
  <si>
    <t>Andy Greenway</t>
  </si>
  <si>
    <t>RECOMMENDATIONS</t>
  </si>
  <si>
    <t>Planner</t>
  </si>
  <si>
    <t>Suzy Smoyer</t>
  </si>
  <si>
    <t>BUDGET PERFORMANCE BONUS (surplus sharing)</t>
  </si>
  <si>
    <t>part time</t>
  </si>
  <si>
    <t>part-time</t>
  </si>
  <si>
    <t>Compensation Recommendations for 2014-15</t>
  </si>
  <si>
    <t>25% payroll taxes &amp; retirement</t>
  </si>
  <si>
    <t>Longevity Bonuses</t>
  </si>
  <si>
    <t>Budget Surplus - Performance Bonuses</t>
  </si>
  <si>
    <t>Transfer from Fund Balance</t>
  </si>
  <si>
    <t>1.</t>
  </si>
  <si>
    <t>2.</t>
  </si>
  <si>
    <t>Lee Edwards</t>
  </si>
  <si>
    <t>Julie Scherer</t>
  </si>
  <si>
    <t>Frankie Hamrick</t>
  </si>
  <si>
    <t>Total Cost in 2015/16:</t>
  </si>
  <si>
    <t>2014-2015 Surplus Added to General Fund Balance:</t>
  </si>
  <si>
    <t>2014-2015 Net Surplus Added to General Fund:</t>
  </si>
  <si>
    <t>Andrea Ogle</t>
  </si>
  <si>
    <t xml:space="preserve"> </t>
  </si>
  <si>
    <t>Trey Lewis</t>
  </si>
  <si>
    <t>Carl Landrum</t>
  </si>
  <si>
    <t>Scout McCormick</t>
  </si>
  <si>
    <t>Laura Krejci</t>
  </si>
  <si>
    <t>Chase Harris</t>
  </si>
  <si>
    <t>Carlos Sanchez</t>
  </si>
  <si>
    <t>Raymond Biddy</t>
  </si>
  <si>
    <t>Kortney Burrell</t>
  </si>
  <si>
    <t>Shane Snoddy</t>
  </si>
  <si>
    <t>Josh Hendrix</t>
  </si>
  <si>
    <t>Dana Bradley</t>
  </si>
  <si>
    <t>Dean Lindsey</t>
  </si>
  <si>
    <t>Tyler Dills</t>
  </si>
  <si>
    <t>Michael Williams</t>
  </si>
  <si>
    <t>Olivia Stewman</t>
  </si>
  <si>
    <t>Stephen Ford</t>
  </si>
  <si>
    <t>Rick Carpenter</t>
  </si>
  <si>
    <t>Jennifer Duncan</t>
  </si>
  <si>
    <t>Wendy Terry</t>
  </si>
  <si>
    <t>Chris Shields</t>
  </si>
  <si>
    <t>William C Oates</t>
  </si>
  <si>
    <t>Nathan Snyder</t>
  </si>
  <si>
    <t>William S Bailey</t>
  </si>
  <si>
    <t>Corbie Bradley</t>
  </si>
  <si>
    <t>Randy Rollins</t>
  </si>
  <si>
    <t>Max DeLauter</t>
  </si>
  <si>
    <t>Donald Martin</t>
  </si>
  <si>
    <t>Hank Perkins</t>
  </si>
  <si>
    <t>Current Department</t>
  </si>
  <si>
    <t>POLICE</t>
  </si>
  <si>
    <t>PUBLIC WORKS</t>
  </si>
  <si>
    <t>PARKS AND REC</t>
  </si>
  <si>
    <t xml:space="preserve">FIRE </t>
  </si>
  <si>
    <t>ADMINISTRATION</t>
  </si>
  <si>
    <t>COMMUNITY DEV</t>
  </si>
  <si>
    <t>Position</t>
  </si>
  <si>
    <t>POLICE CHIEF</t>
  </si>
  <si>
    <t>SALARY</t>
  </si>
  <si>
    <t>UTILITY MAINT TECH</t>
  </si>
  <si>
    <t>PARKS REC LAKE DIR.</t>
  </si>
  <si>
    <t>POLICE SERGEANT</t>
  </si>
  <si>
    <t>POLICE OFFICER</t>
  </si>
  <si>
    <t>FIRE CHIEF</t>
  </si>
  <si>
    <t>POLICE ADMINISTRATOR</t>
  </si>
  <si>
    <t>ASST FIRE CHIEF</t>
  </si>
  <si>
    <t>POLICE CORPORAL</t>
  </si>
  <si>
    <t>FIRE LIEUTENANT</t>
  </si>
  <si>
    <t>FIREFIGHTER</t>
  </si>
  <si>
    <t>ECONOMIC DEV</t>
  </si>
  <si>
    <t>LEAD HYDRO UTILITIES TEC</t>
  </si>
  <si>
    <t>PUBLIC WORKS SUPERVISOR</t>
  </si>
  <si>
    <t>PUBLIC SERVICES DIR</t>
  </si>
  <si>
    <t>PARKS REC TRAIL CORDINATOR</t>
  </si>
  <si>
    <t>COMMUNITY DEV DIRECTOR</t>
  </si>
  <si>
    <t>FINANCE DIRECTOR</t>
  </si>
  <si>
    <t>DEV AND ENVIRONMENTAL REVIEW</t>
  </si>
  <si>
    <t>TOWN CLERK</t>
  </si>
  <si>
    <t>HUMAN RESOURES/ CUSTOMER SERVICE</t>
  </si>
  <si>
    <t>ADMIN SUPPORT SPECIALIST</t>
  </si>
  <si>
    <t>MAINTENANCE TECH</t>
  </si>
  <si>
    <t>PATROL OFFICER</t>
  </si>
  <si>
    <t>PARKS REC LAKE ADMIN SPECIALIST</t>
  </si>
  <si>
    <t>HYDRO UTILITIES SUPERVISOR</t>
  </si>
  <si>
    <t>TOWN MANAGER</t>
  </si>
  <si>
    <t>Michael Dydula</t>
  </si>
  <si>
    <t>PROJECT MANAGER</t>
  </si>
  <si>
    <t>EMPLOYEE LIST FOR THE TOWN OF LAKE LURE AS OF 1/11/2023</t>
  </si>
  <si>
    <t>PUBLIC WORKS ADMINISTRATOR</t>
  </si>
  <si>
    <t>UTILITY MAINT TECHNICIAN</t>
  </si>
  <si>
    <t>COMMUNICATIONS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</si>
</sst>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5" borderId="0" applyNumberFormat="0" applyBorder="0" applyAlignment="0" applyProtection="0"/>
    <xf numFmtId="42" fontId="11" fillId="0" borderId="0" applyFont="0" applyFill="0" applyBorder="0" applyAlignment="0" applyProtection="0"/>
    <xf numFmtId="0" fontId="12" fillId="6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5" fontId="1" fillId="0" borderId="0" xfId="2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9" fontId="1" fillId="0" borderId="1" xfId="2" applyFill="1" applyBorder="1" applyAlignment="1">
      <alignment horizontal="center" vertical="center"/>
    </xf>
    <xf numFmtId="9" fontId="1" fillId="0" borderId="0" xfId="2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8" fillId="0" borderId="0" xfId="0" applyFont="1"/>
    <xf numFmtId="164" fontId="8" fillId="0" borderId="0" xfId="0" applyNumberFormat="1" applyFont="1"/>
    <xf numFmtId="164" fontId="8" fillId="0" borderId="3" xfId="0" applyNumberFormat="1" applyFont="1" applyBorder="1"/>
    <xf numFmtId="0" fontId="9" fillId="0" borderId="0" xfId="0" applyFont="1"/>
    <xf numFmtId="164" fontId="8" fillId="0" borderId="0" xfId="0" applyNumberFormat="1" applyFont="1" applyBorder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0" applyNumberFormat="1" applyFont="1" applyBorder="1"/>
    <xf numFmtId="164" fontId="0" fillId="4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1"/>
    <xf numFmtId="14" fontId="10" fillId="5" borderId="1" xfId="4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10" fillId="5" borderId="7" xfId="4" applyNumberFormat="1" applyBorder="1" applyAlignment="1">
      <alignment horizontal="center" vertical="center"/>
    </xf>
    <xf numFmtId="42" fontId="10" fillId="5" borderId="1" xfId="5" applyFont="1" applyFill="1" applyBorder="1" applyAlignment="1">
      <alignment vertical="center"/>
    </xf>
    <xf numFmtId="42" fontId="10" fillId="5" borderId="1" xfId="4" applyNumberFormat="1" applyBorder="1" applyAlignment="1">
      <alignment vertical="center"/>
    </xf>
    <xf numFmtId="42" fontId="10" fillId="5" borderId="7" xfId="5" applyFont="1" applyFill="1" applyBorder="1" applyAlignment="1">
      <alignment vertical="center"/>
    </xf>
    <xf numFmtId="44" fontId="10" fillId="5" borderId="7" xfId="5" applyNumberFormat="1" applyFont="1" applyFill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5" fillId="0" borderId="1" xfId="1" applyBorder="1" applyAlignment="1">
      <alignment horizontal="center" vertical="center"/>
    </xf>
    <xf numFmtId="0" fontId="5" fillId="0" borderId="1" xfId="1" applyBorder="1"/>
    <xf numFmtId="44" fontId="10" fillId="5" borderId="1" xfId="5" applyNumberFormat="1" applyFont="1" applyFill="1" applyBorder="1" applyAlignment="1">
      <alignment vertical="center"/>
    </xf>
    <xf numFmtId="0" fontId="12" fillId="6" borderId="6" xfId="6" applyBorder="1"/>
    <xf numFmtId="0" fontId="12" fillId="6" borderId="1" xfId="6" applyBorder="1" applyAlignment="1">
      <alignment horizontal="left" vertical="center"/>
    </xf>
    <xf numFmtId="44" fontId="12" fillId="6" borderId="1" xfId="6" applyNumberFormat="1" applyBorder="1" applyAlignment="1">
      <alignment horizontal="left" vertical="center"/>
    </xf>
    <xf numFmtId="0" fontId="12" fillId="6" borderId="4" xfId="6" applyBorder="1" applyAlignment="1">
      <alignment horizontal="left"/>
    </xf>
    <xf numFmtId="0" fontId="12" fillId="6" borderId="1" xfId="6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7">
    <cellStyle name="Currency [0]" xfId="5" builtinId="7"/>
    <cellStyle name="Good" xfId="4" builtinId="26"/>
    <cellStyle name="Neutral" xfId="6" builtinId="28"/>
    <cellStyle name="Normal" xfId="0" builtinId="0"/>
    <cellStyle name="Normal 2" xfId="1"/>
    <cellStyle name="Percent" xfId="2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41</xdr:row>
      <xdr:rowOff>28575</xdr:rowOff>
    </xdr:from>
    <xdr:to>
      <xdr:col>17</xdr:col>
      <xdr:colOff>628650</xdr:colOff>
      <xdr:row>42</xdr:row>
      <xdr:rowOff>95250</xdr:rowOff>
    </xdr:to>
    <xdr:sp macro="" textlink="">
      <xdr:nvSpPr>
        <xdr:cNvPr id="2259" name="Line 1"/>
        <xdr:cNvSpPr>
          <a:spLocks noChangeShapeType="1"/>
        </xdr:cNvSpPr>
      </xdr:nvSpPr>
      <xdr:spPr bwMode="auto">
        <a:xfrm flipH="1">
          <a:off x="13887450" y="817245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695325</xdr:colOff>
      <xdr:row>41</xdr:row>
      <xdr:rowOff>57150</xdr:rowOff>
    </xdr:from>
    <xdr:to>
      <xdr:col>16</xdr:col>
      <xdr:colOff>257175</xdr:colOff>
      <xdr:row>42</xdr:row>
      <xdr:rowOff>76200</xdr:rowOff>
    </xdr:to>
    <xdr:sp macro="" textlink="">
      <xdr:nvSpPr>
        <xdr:cNvPr id="2260" name="Line 2"/>
        <xdr:cNvSpPr>
          <a:spLocks noChangeShapeType="1"/>
        </xdr:cNvSpPr>
      </xdr:nvSpPr>
      <xdr:spPr bwMode="auto">
        <a:xfrm>
          <a:off x="12925425" y="8201025"/>
          <a:ext cx="3905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438150</xdr:colOff>
      <xdr:row>41</xdr:row>
      <xdr:rowOff>28575</xdr:rowOff>
    </xdr:from>
    <xdr:to>
      <xdr:col>16</xdr:col>
      <xdr:colOff>600075</xdr:colOff>
      <xdr:row>42</xdr:row>
      <xdr:rowOff>76200</xdr:rowOff>
    </xdr:to>
    <xdr:sp macro="" textlink="">
      <xdr:nvSpPr>
        <xdr:cNvPr id="2261" name="Line 3"/>
        <xdr:cNvSpPr>
          <a:spLocks noChangeShapeType="1"/>
        </xdr:cNvSpPr>
      </xdr:nvSpPr>
      <xdr:spPr bwMode="auto">
        <a:xfrm flipH="1">
          <a:off x="13496925" y="8172450"/>
          <a:ext cx="161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opLeftCell="A4" workbookViewId="0">
      <selection activeCell="B4" sqref="B4"/>
    </sheetView>
  </sheetViews>
  <sheetFormatPr defaultColWidth="9.140625" defaultRowHeight="12.75" x14ac:dyDescent="0.2"/>
  <cols>
    <col min="1" max="1" width="5.42578125" style="1" customWidth="1"/>
    <col min="2" max="2" width="38.85546875" style="1" customWidth="1"/>
    <col min="3" max="3" width="8.7109375" style="2" customWidth="1"/>
    <col min="4" max="6" width="11.42578125" style="1" customWidth="1"/>
    <col min="7" max="7" width="3.7109375" style="1" customWidth="1"/>
    <col min="8" max="8" width="17" style="1" customWidth="1"/>
    <col min="9" max="9" width="12.140625" style="2" customWidth="1"/>
    <col min="10" max="10" width="10.140625" style="2" customWidth="1"/>
    <col min="11" max="11" width="11.42578125" style="1" customWidth="1"/>
    <col min="12" max="12" width="14.140625" style="1" customWidth="1"/>
    <col min="13" max="13" width="10.28515625" style="1" customWidth="1"/>
    <col min="14" max="14" width="3.85546875" style="1" customWidth="1"/>
    <col min="15" max="15" width="13.42578125" style="1" customWidth="1"/>
    <col min="16" max="17" width="12.42578125" style="1" customWidth="1"/>
    <col min="18" max="18" width="13" style="1" hidden="1" customWidth="1"/>
    <col min="19" max="19" width="4.85546875" style="1" customWidth="1"/>
    <col min="20" max="20" width="12.42578125" style="1" hidden="1" customWidth="1"/>
    <col min="21" max="16384" width="9.140625" style="1"/>
  </cols>
  <sheetData>
    <row r="1" spans="1:20" ht="18" x14ac:dyDescent="0.2">
      <c r="A1" s="22" t="s">
        <v>75</v>
      </c>
      <c r="I1" s="2" t="s">
        <v>65</v>
      </c>
      <c r="J1" s="23">
        <v>42271</v>
      </c>
      <c r="N1" s="36"/>
      <c r="P1" s="22" t="s">
        <v>91</v>
      </c>
    </row>
    <row r="2" spans="1:20" ht="29.25" customHeight="1" x14ac:dyDescent="0.2">
      <c r="D2" s="77" t="s">
        <v>72</v>
      </c>
      <c r="E2" s="78"/>
      <c r="F2" s="78"/>
      <c r="J2" s="19"/>
      <c r="N2" s="36"/>
    </row>
    <row r="3" spans="1:20" s="5" customFormat="1" ht="63.75" x14ac:dyDescent="0.2">
      <c r="B3" s="7" t="s">
        <v>4</v>
      </c>
      <c r="C3" s="7" t="s">
        <v>7</v>
      </c>
      <c r="D3" s="6" t="s">
        <v>70</v>
      </c>
      <c r="E3" s="6" t="s">
        <v>5</v>
      </c>
      <c r="F3" s="6" t="s">
        <v>71</v>
      </c>
      <c r="G3" s="6"/>
      <c r="H3" s="5" t="s">
        <v>0</v>
      </c>
      <c r="I3" s="6" t="s">
        <v>73</v>
      </c>
      <c r="J3" s="6" t="s">
        <v>64</v>
      </c>
      <c r="K3" s="6" t="s">
        <v>8</v>
      </c>
      <c r="L3" s="6" t="s">
        <v>84</v>
      </c>
      <c r="M3" s="6" t="s">
        <v>85</v>
      </c>
      <c r="N3" s="36"/>
      <c r="P3" s="6" t="s">
        <v>88</v>
      </c>
      <c r="Q3" s="6" t="s">
        <v>89</v>
      </c>
      <c r="R3" s="6" t="s">
        <v>86</v>
      </c>
      <c r="T3" s="6" t="s">
        <v>87</v>
      </c>
    </row>
    <row r="4" spans="1:20" x14ac:dyDescent="0.2">
      <c r="A4" s="2">
        <v>1</v>
      </c>
      <c r="B4" s="8" t="s">
        <v>111</v>
      </c>
      <c r="C4" s="51">
        <v>6</v>
      </c>
      <c r="D4" s="52">
        <v>28284</v>
      </c>
      <c r="E4" s="52">
        <v>34423</v>
      </c>
      <c r="F4" s="52">
        <v>40562</v>
      </c>
      <c r="G4" s="20"/>
      <c r="H4" s="8" t="s">
        <v>35</v>
      </c>
      <c r="I4" s="9">
        <v>40604</v>
      </c>
      <c r="J4" s="24">
        <f t="shared" ref="J4:J11" si="0">INT((+$J$1-I4)/365)</f>
        <v>4</v>
      </c>
      <c r="K4" s="25">
        <v>32544</v>
      </c>
      <c r="L4" s="31">
        <f t="shared" ref="L4:L29" si="1">+(K4-D4)/(F4-D4)</f>
        <v>0.34696204593582014</v>
      </c>
      <c r="M4" s="25"/>
      <c r="N4" s="36"/>
      <c r="P4" s="33" t="str">
        <f>VLOOKUP(H4,'Longevity Supplement'!$B$4:$E$14,4,FALSE)</f>
        <v>POLICE ADMINISTRATOR</v>
      </c>
      <c r="Q4" s="33">
        <f>VLOOKUP(H4,'Surplus Sharing'!$B$17:$F$50,4,FALSE)</f>
        <v>1000</v>
      </c>
      <c r="R4" s="33"/>
      <c r="T4" s="33">
        <f t="shared" ref="T4:T29" si="2">+R4+K4</f>
        <v>32544</v>
      </c>
    </row>
    <row r="5" spans="1:20" x14ac:dyDescent="0.2">
      <c r="A5" s="2">
        <v>2</v>
      </c>
      <c r="B5" s="8" t="s">
        <v>21</v>
      </c>
      <c r="C5" s="51">
        <v>6</v>
      </c>
      <c r="D5" s="52">
        <v>28284</v>
      </c>
      <c r="E5" s="52">
        <v>34423</v>
      </c>
      <c r="F5" s="52">
        <v>40562</v>
      </c>
      <c r="G5" s="20"/>
      <c r="H5" s="8" t="s">
        <v>36</v>
      </c>
      <c r="I5" s="9">
        <v>38537</v>
      </c>
      <c r="J5" s="24">
        <f t="shared" si="0"/>
        <v>10</v>
      </c>
      <c r="K5" s="25">
        <v>34870</v>
      </c>
      <c r="L5" s="31">
        <f t="shared" si="1"/>
        <v>0.53640658087636428</v>
      </c>
      <c r="M5" s="25"/>
      <c r="N5" s="36"/>
      <c r="P5" s="33" t="e">
        <f>VLOOKUP(H5,'Longevity Supplement'!$B$4:$E$14,4,FALSE)</f>
        <v>#N/A</v>
      </c>
      <c r="Q5" s="33">
        <f>VLOOKUP(H5,'Surplus Sharing'!$B$17:$F$50,4,FALSE)</f>
        <v>1000</v>
      </c>
      <c r="R5" s="33"/>
      <c r="T5" s="33">
        <f t="shared" si="2"/>
        <v>34870</v>
      </c>
    </row>
    <row r="6" spans="1:20" x14ac:dyDescent="0.2">
      <c r="A6" s="2">
        <v>3</v>
      </c>
      <c r="B6" s="8" t="s">
        <v>19</v>
      </c>
      <c r="C6" s="51">
        <v>7</v>
      </c>
      <c r="D6" s="52">
        <v>29728</v>
      </c>
      <c r="E6" s="52">
        <v>36179</v>
      </c>
      <c r="F6" s="52">
        <v>42630</v>
      </c>
      <c r="G6" s="20"/>
      <c r="H6" s="8" t="s">
        <v>37</v>
      </c>
      <c r="I6" s="9">
        <v>38187</v>
      </c>
      <c r="J6" s="24">
        <f t="shared" si="0"/>
        <v>11</v>
      </c>
      <c r="K6" s="25">
        <v>35697</v>
      </c>
      <c r="L6" s="31">
        <f t="shared" si="1"/>
        <v>0.46264145093783909</v>
      </c>
      <c r="M6" s="25"/>
      <c r="N6" s="36"/>
      <c r="P6" s="33" t="str">
        <f>VLOOKUP(H6,'Longevity Supplement'!$B$4:$E$14,4,FALSE)</f>
        <v>UTILITY MAINT TECHNICIAN</v>
      </c>
      <c r="Q6" s="33">
        <f>VLOOKUP(H6,'Surplus Sharing'!$B$17:$F$50,4,FALSE)</f>
        <v>1000</v>
      </c>
      <c r="R6" s="33"/>
      <c r="T6" s="33">
        <f t="shared" si="2"/>
        <v>35697</v>
      </c>
    </row>
    <row r="7" spans="1:20" x14ac:dyDescent="0.2">
      <c r="A7" s="2">
        <v>4</v>
      </c>
      <c r="B7" s="8" t="s">
        <v>29</v>
      </c>
      <c r="C7" s="51">
        <v>9</v>
      </c>
      <c r="D7" s="52">
        <v>32836</v>
      </c>
      <c r="E7" s="52">
        <v>39963</v>
      </c>
      <c r="F7" s="52">
        <v>47089</v>
      </c>
      <c r="G7" s="20"/>
      <c r="H7" s="8" t="s">
        <v>54</v>
      </c>
      <c r="I7" s="9">
        <v>39706</v>
      </c>
      <c r="J7" s="24">
        <f t="shared" si="0"/>
        <v>7</v>
      </c>
      <c r="K7" s="25">
        <v>36104</v>
      </c>
      <c r="L7" s="31">
        <f t="shared" si="1"/>
        <v>0.22928506279379779</v>
      </c>
      <c r="M7" s="25"/>
      <c r="N7" s="36"/>
      <c r="P7" s="33" t="str">
        <f>VLOOKUP(H7,'Longevity Supplement'!$B$4:$E$14,4,FALSE)</f>
        <v>POLICE OFFICER</v>
      </c>
      <c r="Q7" s="33">
        <f>VLOOKUP(H7,'Surplus Sharing'!$B$17:$F$50,4,FALSE)</f>
        <v>1000</v>
      </c>
      <c r="R7" s="33"/>
      <c r="T7" s="33">
        <f t="shared" si="2"/>
        <v>36104</v>
      </c>
    </row>
    <row r="8" spans="1:20" x14ac:dyDescent="0.2">
      <c r="A8" s="2">
        <v>5</v>
      </c>
      <c r="B8" s="8" t="s">
        <v>29</v>
      </c>
      <c r="C8" s="51">
        <v>9</v>
      </c>
      <c r="D8" s="52">
        <v>32836</v>
      </c>
      <c r="E8" s="52">
        <v>39963</v>
      </c>
      <c r="F8" s="52">
        <v>47089</v>
      </c>
      <c r="G8" s="20"/>
      <c r="H8" s="8" t="s">
        <v>104</v>
      </c>
      <c r="I8" s="9">
        <v>42011</v>
      </c>
      <c r="J8" s="24">
        <f t="shared" si="0"/>
        <v>0</v>
      </c>
      <c r="K8" s="25">
        <v>34478</v>
      </c>
      <c r="L8" s="31">
        <f t="shared" si="1"/>
        <v>0.11520381674033536</v>
      </c>
      <c r="M8" s="25"/>
      <c r="N8" s="36"/>
      <c r="P8" s="33" t="e">
        <f>VLOOKUP(H8,'Longevity Supplement'!$B$4:$E$14,4,FALSE)</f>
        <v>#N/A</v>
      </c>
      <c r="Q8" s="33">
        <f>VLOOKUP(H8,'Surplus Sharing'!$B$17:$F$50,4,FALSE)</f>
        <v>750</v>
      </c>
      <c r="R8" s="33"/>
      <c r="T8" s="33">
        <f t="shared" si="2"/>
        <v>34478</v>
      </c>
    </row>
    <row r="9" spans="1:20" x14ac:dyDescent="0.2">
      <c r="A9" s="2">
        <v>6</v>
      </c>
      <c r="B9" s="8" t="s">
        <v>29</v>
      </c>
      <c r="C9" s="51">
        <v>9</v>
      </c>
      <c r="D9" s="52">
        <v>32836</v>
      </c>
      <c r="E9" s="52">
        <v>39963</v>
      </c>
      <c r="F9" s="52">
        <v>47089</v>
      </c>
      <c r="G9" s="20"/>
      <c r="H9" s="8" t="s">
        <v>42</v>
      </c>
      <c r="I9" s="9">
        <v>41379</v>
      </c>
      <c r="J9" s="24">
        <f t="shared" si="0"/>
        <v>2</v>
      </c>
      <c r="K9" s="25">
        <v>34510</v>
      </c>
      <c r="L9" s="31">
        <f t="shared" si="1"/>
        <v>0.11744895811408125</v>
      </c>
      <c r="M9" s="25"/>
      <c r="N9" s="36"/>
      <c r="P9" s="33" t="e">
        <f>VLOOKUP(H9,'Longevity Supplement'!$B$4:$E$14,4,FALSE)</f>
        <v>#N/A</v>
      </c>
      <c r="Q9" s="33">
        <f>VLOOKUP(H9,'Surplus Sharing'!$B$17:$F$50,4,FALSE)</f>
        <v>1000</v>
      </c>
      <c r="R9" s="33"/>
      <c r="T9" s="33">
        <f t="shared" si="2"/>
        <v>34510</v>
      </c>
    </row>
    <row r="10" spans="1:20" x14ac:dyDescent="0.2">
      <c r="A10" s="2">
        <v>7</v>
      </c>
      <c r="B10" s="26" t="s">
        <v>30</v>
      </c>
      <c r="C10" s="51">
        <v>9</v>
      </c>
      <c r="D10" s="52">
        <v>32836</v>
      </c>
      <c r="E10" s="52">
        <v>39963</v>
      </c>
      <c r="F10" s="52">
        <v>47089</v>
      </c>
      <c r="G10" s="20"/>
      <c r="H10" s="8" t="s">
        <v>44</v>
      </c>
      <c r="I10" s="9">
        <v>41502</v>
      </c>
      <c r="J10" s="24">
        <f t="shared" si="0"/>
        <v>2</v>
      </c>
      <c r="K10" s="25">
        <v>34510</v>
      </c>
      <c r="L10" s="31">
        <f t="shared" si="1"/>
        <v>0.11744895811408125</v>
      </c>
      <c r="M10" s="25"/>
      <c r="N10" s="36"/>
      <c r="P10" s="33" t="e">
        <f>VLOOKUP(H10,'Longevity Supplement'!$B$4:$E$14,4,FALSE)</f>
        <v>#N/A</v>
      </c>
      <c r="Q10" s="33">
        <f>VLOOKUP(H10,'Surplus Sharing'!$B$17:$F$50,4,FALSE)</f>
        <v>1000</v>
      </c>
      <c r="R10" s="33"/>
      <c r="T10" s="33">
        <f t="shared" si="2"/>
        <v>34510</v>
      </c>
    </row>
    <row r="11" spans="1:20" x14ac:dyDescent="0.2">
      <c r="A11" s="2">
        <v>8</v>
      </c>
      <c r="B11" s="26" t="s">
        <v>29</v>
      </c>
      <c r="C11" s="51">
        <v>9</v>
      </c>
      <c r="D11" s="52">
        <v>32836</v>
      </c>
      <c r="E11" s="52">
        <v>39963</v>
      </c>
      <c r="F11" s="52">
        <v>47089</v>
      </c>
      <c r="G11" s="20"/>
      <c r="H11" s="8" t="s">
        <v>45</v>
      </c>
      <c r="I11" s="9">
        <v>41702</v>
      </c>
      <c r="J11" s="24">
        <f t="shared" si="0"/>
        <v>1</v>
      </c>
      <c r="K11" s="25">
        <v>34510</v>
      </c>
      <c r="L11" s="31">
        <f t="shared" si="1"/>
        <v>0.11744895811408125</v>
      </c>
      <c r="M11" s="25"/>
      <c r="N11" s="36"/>
      <c r="P11" s="33" t="e">
        <f>VLOOKUP(H11,'Longevity Supplement'!$B$4:$E$14,4,FALSE)</f>
        <v>#N/A</v>
      </c>
      <c r="Q11" s="33">
        <f>VLOOKUP(H11,'Surplus Sharing'!$B$17:$F$50,4,FALSE)</f>
        <v>1000</v>
      </c>
      <c r="R11" s="33"/>
      <c r="T11" s="33">
        <f t="shared" si="2"/>
        <v>34510</v>
      </c>
    </row>
    <row r="12" spans="1:20" x14ac:dyDescent="0.2">
      <c r="A12" s="2">
        <v>9</v>
      </c>
      <c r="B12" s="26" t="s">
        <v>30</v>
      </c>
      <c r="C12" s="51">
        <v>9</v>
      </c>
      <c r="D12" s="52">
        <v>32836</v>
      </c>
      <c r="E12" s="52">
        <v>39963</v>
      </c>
      <c r="F12" s="52">
        <v>47089</v>
      </c>
      <c r="G12" s="20"/>
      <c r="H12" s="8" t="s">
        <v>106</v>
      </c>
      <c r="I12" s="28">
        <v>41988</v>
      </c>
      <c r="J12" s="24">
        <v>0</v>
      </c>
      <c r="K12" s="25">
        <v>32837</v>
      </c>
      <c r="L12" s="31">
        <f t="shared" si="1"/>
        <v>7.0160667929558687E-5</v>
      </c>
      <c r="M12" s="25"/>
      <c r="N12" s="36"/>
      <c r="P12" s="33" t="e">
        <f>VLOOKUP(H12,'Longevity Supplement'!$B$4:$E$14,4,FALSE)</f>
        <v>#N/A</v>
      </c>
      <c r="Q12" s="33">
        <f>VLOOKUP(H12,'Surplus Sharing'!$B$17:$F$50,4,FALSE)</f>
        <v>833</v>
      </c>
      <c r="R12" s="33"/>
      <c r="T12" s="33">
        <f t="shared" si="2"/>
        <v>32837</v>
      </c>
    </row>
    <row r="13" spans="1:20" x14ac:dyDescent="0.2">
      <c r="A13" s="2">
        <v>10</v>
      </c>
      <c r="B13" s="8" t="s">
        <v>13</v>
      </c>
      <c r="C13" s="51">
        <v>10</v>
      </c>
      <c r="D13" s="52">
        <v>34510</v>
      </c>
      <c r="E13" s="52">
        <v>42000</v>
      </c>
      <c r="F13" s="52">
        <v>49490</v>
      </c>
      <c r="G13" s="20"/>
      <c r="H13" s="8" t="s">
        <v>38</v>
      </c>
      <c r="I13" s="9">
        <v>34828</v>
      </c>
      <c r="J13" s="24">
        <f t="shared" ref="J13:J37" si="3">INT((+$J$1-I13)/365)</f>
        <v>20</v>
      </c>
      <c r="K13" s="25">
        <v>42095</v>
      </c>
      <c r="L13" s="31">
        <f t="shared" si="1"/>
        <v>0.50634178905206939</v>
      </c>
      <c r="M13" s="25"/>
      <c r="N13" s="36"/>
      <c r="P13" s="33" t="e">
        <f>VLOOKUP(H13,'Longevity Supplement'!$B$4:$E$14,4,FALSE)</f>
        <v>#N/A</v>
      </c>
      <c r="Q13" s="33">
        <f>VLOOKUP(H13,'Surplus Sharing'!$B$17:$F$50,4,FALSE)</f>
        <v>1000</v>
      </c>
      <c r="R13" s="33"/>
      <c r="T13" s="33">
        <f t="shared" si="2"/>
        <v>42095</v>
      </c>
    </row>
    <row r="14" spans="1:20" x14ac:dyDescent="0.2">
      <c r="A14" s="2">
        <v>11</v>
      </c>
      <c r="B14" s="8" t="s">
        <v>14</v>
      </c>
      <c r="C14" s="51">
        <v>10</v>
      </c>
      <c r="D14" s="52">
        <v>34510</v>
      </c>
      <c r="E14" s="52">
        <v>42000</v>
      </c>
      <c r="F14" s="52">
        <v>49490</v>
      </c>
      <c r="G14" s="20"/>
      <c r="H14" s="8" t="s">
        <v>39</v>
      </c>
      <c r="I14" s="9">
        <v>35191</v>
      </c>
      <c r="J14" s="24">
        <f t="shared" si="3"/>
        <v>19</v>
      </c>
      <c r="K14" s="25">
        <v>39284</v>
      </c>
      <c r="L14" s="31">
        <f t="shared" si="1"/>
        <v>0.31869158878504672</v>
      </c>
      <c r="M14" s="25"/>
      <c r="N14" s="36"/>
      <c r="P14" s="33" t="e">
        <f>VLOOKUP(H14,'Longevity Supplement'!$B$4:$E$14,4,FALSE)</f>
        <v>#N/A</v>
      </c>
      <c r="Q14" s="33">
        <f>VLOOKUP(H14,'Surplus Sharing'!$B$17:$F$50,4,FALSE)</f>
        <v>1000</v>
      </c>
      <c r="R14" s="33"/>
      <c r="T14" s="33">
        <f t="shared" si="2"/>
        <v>39284</v>
      </c>
    </row>
    <row r="15" spans="1:20" x14ac:dyDescent="0.2">
      <c r="A15" s="2">
        <v>12</v>
      </c>
      <c r="B15" s="8" t="s">
        <v>24</v>
      </c>
      <c r="C15" s="51">
        <v>10</v>
      </c>
      <c r="D15" s="52">
        <v>34510</v>
      </c>
      <c r="E15" s="52">
        <v>42000</v>
      </c>
      <c r="F15" s="52">
        <v>49490</v>
      </c>
      <c r="G15" s="20"/>
      <c r="H15" s="8" t="s">
        <v>40</v>
      </c>
      <c r="I15" s="9">
        <v>39051</v>
      </c>
      <c r="J15" s="24">
        <f t="shared" si="3"/>
        <v>8</v>
      </c>
      <c r="K15" s="25">
        <v>37316</v>
      </c>
      <c r="L15" s="31">
        <f t="shared" si="1"/>
        <v>0.18731642189586115</v>
      </c>
      <c r="M15" s="25"/>
      <c r="N15" s="36"/>
      <c r="P15" s="33" t="e">
        <f>VLOOKUP(H15,'Longevity Supplement'!$B$4:$E$14,4,FALSE)</f>
        <v>#N/A</v>
      </c>
      <c r="Q15" s="33">
        <f>VLOOKUP(H15,'Surplus Sharing'!$B$17:$F$50,4,FALSE)</f>
        <v>1000</v>
      </c>
      <c r="R15" s="33"/>
      <c r="T15" s="33">
        <f t="shared" si="2"/>
        <v>37316</v>
      </c>
    </row>
    <row r="16" spans="1:20" x14ac:dyDescent="0.2">
      <c r="A16" s="2">
        <v>13</v>
      </c>
      <c r="B16" s="26" t="s">
        <v>31</v>
      </c>
      <c r="C16" s="51">
        <v>10</v>
      </c>
      <c r="D16" s="52">
        <v>34510</v>
      </c>
      <c r="E16" s="52">
        <v>42000</v>
      </c>
      <c r="F16" s="52">
        <v>49490</v>
      </c>
      <c r="G16" s="20"/>
      <c r="H16" s="8" t="s">
        <v>47</v>
      </c>
      <c r="I16" s="9">
        <v>41181</v>
      </c>
      <c r="J16" s="24">
        <f t="shared" si="3"/>
        <v>2</v>
      </c>
      <c r="K16" s="25">
        <v>36269</v>
      </c>
      <c r="L16" s="31">
        <f t="shared" si="1"/>
        <v>0.11742323097463285</v>
      </c>
      <c r="M16" s="25"/>
      <c r="N16" s="36"/>
      <c r="P16" s="33" t="e">
        <f>VLOOKUP(H16,'Longevity Supplement'!$B$4:$E$14,4,FALSE)</f>
        <v>#N/A</v>
      </c>
      <c r="Q16" s="33">
        <f>VLOOKUP(H16,'Surplus Sharing'!$B$17:$F$50,4,FALSE)</f>
        <v>1000</v>
      </c>
      <c r="R16" s="33"/>
      <c r="T16" s="33">
        <f t="shared" si="2"/>
        <v>36269</v>
      </c>
    </row>
    <row r="17" spans="1:20" x14ac:dyDescent="0.2">
      <c r="A17" s="2">
        <v>14</v>
      </c>
      <c r="B17" s="26" t="s">
        <v>31</v>
      </c>
      <c r="C17" s="51">
        <v>10</v>
      </c>
      <c r="D17" s="52">
        <v>34510</v>
      </c>
      <c r="E17" s="52">
        <v>42000</v>
      </c>
      <c r="F17" s="52">
        <v>49490</v>
      </c>
      <c r="G17" s="20"/>
      <c r="H17" s="8" t="s">
        <v>43</v>
      </c>
      <c r="I17" s="9">
        <v>41404</v>
      </c>
      <c r="J17" s="24">
        <f t="shared" si="3"/>
        <v>2</v>
      </c>
      <c r="K17" s="25">
        <v>36269</v>
      </c>
      <c r="L17" s="31">
        <f t="shared" si="1"/>
        <v>0.11742323097463285</v>
      </c>
      <c r="M17" s="25"/>
      <c r="N17" s="36"/>
      <c r="P17" s="33" t="str">
        <f>VLOOKUP(H17,'Longevity Supplement'!$B$4:$E$14,4,FALSE)</f>
        <v>ASST FIRE CHIEF</v>
      </c>
      <c r="Q17" s="33">
        <f>VLOOKUP(H17,'Surplus Sharing'!$B$17:$F$50,4,FALSE)</f>
        <v>1000</v>
      </c>
      <c r="R17" s="33"/>
      <c r="T17" s="33">
        <f t="shared" si="2"/>
        <v>36269</v>
      </c>
    </row>
    <row r="18" spans="1:20" x14ac:dyDescent="0.2">
      <c r="A18" s="2">
        <v>15</v>
      </c>
      <c r="B18" s="26" t="s">
        <v>28</v>
      </c>
      <c r="C18" s="51">
        <v>10</v>
      </c>
      <c r="D18" s="52">
        <v>34510</v>
      </c>
      <c r="E18" s="52">
        <v>42000</v>
      </c>
      <c r="F18" s="52">
        <v>49490</v>
      </c>
      <c r="G18" s="20"/>
      <c r="H18" s="8" t="s">
        <v>46</v>
      </c>
      <c r="I18" s="9">
        <v>41831</v>
      </c>
      <c r="J18" s="24">
        <f t="shared" si="3"/>
        <v>1</v>
      </c>
      <c r="K18" s="25">
        <v>36269</v>
      </c>
      <c r="L18" s="31">
        <f t="shared" si="1"/>
        <v>0.11742323097463285</v>
      </c>
      <c r="M18" s="25"/>
      <c r="N18" s="36"/>
      <c r="P18" s="33" t="str">
        <f>VLOOKUP(H18,'Longevity Supplement'!$B$4:$E$14,4,FALSE)</f>
        <v>POLICE CORPORAL</v>
      </c>
      <c r="Q18" s="33">
        <f>VLOOKUP(H18,'Surplus Sharing'!$B$17:$F$50,4,FALSE)</f>
        <v>1000</v>
      </c>
      <c r="R18" s="33"/>
      <c r="T18" s="33">
        <f t="shared" si="2"/>
        <v>36269</v>
      </c>
    </row>
    <row r="19" spans="1:20" x14ac:dyDescent="0.2">
      <c r="A19" s="2">
        <v>16</v>
      </c>
      <c r="B19" s="26" t="s">
        <v>28</v>
      </c>
      <c r="C19" s="51">
        <v>10</v>
      </c>
      <c r="D19" s="52">
        <v>34510</v>
      </c>
      <c r="E19" s="52">
        <v>42000</v>
      </c>
      <c r="F19" s="52">
        <v>49490</v>
      </c>
      <c r="G19" s="20"/>
      <c r="H19" s="8" t="s">
        <v>41</v>
      </c>
      <c r="I19" s="9">
        <v>41060</v>
      </c>
      <c r="J19" s="24">
        <f t="shared" si="3"/>
        <v>3</v>
      </c>
      <c r="K19" s="25">
        <v>36269</v>
      </c>
      <c r="L19" s="31">
        <f t="shared" si="1"/>
        <v>0.11742323097463285</v>
      </c>
      <c r="M19" s="25"/>
      <c r="N19" s="36"/>
      <c r="P19" s="33" t="str">
        <f>VLOOKUP(H19,'Longevity Supplement'!$B$4:$E$14,4,FALSE)</f>
        <v>POLICE SERGEANT</v>
      </c>
      <c r="Q19" s="33">
        <f>VLOOKUP(H19,'Surplus Sharing'!$B$17:$F$50,4,FALSE)</f>
        <v>1000</v>
      </c>
      <c r="R19" s="33"/>
      <c r="T19" s="33"/>
    </row>
    <row r="20" spans="1:20" x14ac:dyDescent="0.2">
      <c r="A20" s="2">
        <v>17</v>
      </c>
      <c r="B20" s="26" t="s">
        <v>10</v>
      </c>
      <c r="C20" s="51">
        <v>11</v>
      </c>
      <c r="D20" s="52">
        <v>36269</v>
      </c>
      <c r="E20" s="52">
        <v>44141</v>
      </c>
      <c r="F20" s="52">
        <v>52014</v>
      </c>
      <c r="G20" s="20"/>
      <c r="H20" s="8" t="s">
        <v>48</v>
      </c>
      <c r="I20" s="9">
        <v>32595</v>
      </c>
      <c r="J20" s="24">
        <f t="shared" si="3"/>
        <v>26</v>
      </c>
      <c r="K20" s="25">
        <v>44665</v>
      </c>
      <c r="L20" s="31">
        <f t="shared" si="1"/>
        <v>0.53324865036519531</v>
      </c>
      <c r="M20" s="25"/>
      <c r="N20" s="36"/>
      <c r="P20" s="33" t="e">
        <f>VLOOKUP(H20,'Longevity Supplement'!$B$4:$E$14,4,FALSE)</f>
        <v>#N/A</v>
      </c>
      <c r="Q20" s="33">
        <f>VLOOKUP(H20,'Surplus Sharing'!$B$17:$F$50,4,FALSE)</f>
        <v>1000</v>
      </c>
      <c r="R20" s="33"/>
      <c r="T20" s="33">
        <f t="shared" si="2"/>
        <v>44665</v>
      </c>
    </row>
    <row r="21" spans="1:20" ht="25.5" x14ac:dyDescent="0.2">
      <c r="A21" s="2">
        <v>18</v>
      </c>
      <c r="B21" s="27" t="s">
        <v>15</v>
      </c>
      <c r="C21" s="51">
        <v>11</v>
      </c>
      <c r="D21" s="52">
        <v>36269</v>
      </c>
      <c r="E21" s="52">
        <v>44141</v>
      </c>
      <c r="F21" s="52">
        <v>52014</v>
      </c>
      <c r="G21" s="20"/>
      <c r="H21" s="8" t="s">
        <v>49</v>
      </c>
      <c r="I21" s="9">
        <v>35646</v>
      </c>
      <c r="J21" s="24">
        <f t="shared" si="3"/>
        <v>18</v>
      </c>
      <c r="K21" s="25">
        <v>38594</v>
      </c>
      <c r="L21" s="31">
        <f t="shared" si="1"/>
        <v>0.14766592569069545</v>
      </c>
      <c r="M21" s="50">
        <v>12468</v>
      </c>
      <c r="N21" s="36"/>
      <c r="P21" s="33" t="e">
        <f>VLOOKUP(H21,'Longevity Supplement'!$B$4:$E$14,4,FALSE)</f>
        <v>#N/A</v>
      </c>
      <c r="Q21" s="33">
        <f>VLOOKUP(H21,'Surplus Sharing'!$B$17:$F$50,4,FALSE)</f>
        <v>1000</v>
      </c>
      <c r="R21" s="33"/>
      <c r="T21" s="33">
        <f t="shared" si="2"/>
        <v>38594</v>
      </c>
    </row>
    <row r="22" spans="1:20" x14ac:dyDescent="0.2">
      <c r="A22" s="2">
        <v>19</v>
      </c>
      <c r="B22" s="26" t="s">
        <v>18</v>
      </c>
      <c r="C22" s="51">
        <v>12</v>
      </c>
      <c r="D22" s="52">
        <v>38118</v>
      </c>
      <c r="E22" s="52">
        <v>46392</v>
      </c>
      <c r="F22" s="52">
        <v>54666</v>
      </c>
      <c r="G22" s="20"/>
      <c r="H22" s="8" t="s">
        <v>51</v>
      </c>
      <c r="I22" s="9">
        <v>37823</v>
      </c>
      <c r="J22" s="24">
        <f t="shared" si="3"/>
        <v>12</v>
      </c>
      <c r="K22" s="25">
        <v>47089</v>
      </c>
      <c r="L22" s="31">
        <f t="shared" si="1"/>
        <v>0.54211989364273627</v>
      </c>
      <c r="M22" s="25"/>
      <c r="N22" s="36"/>
      <c r="P22" s="33" t="e">
        <f>VLOOKUP(H22,'Longevity Supplement'!$B$4:$E$14,4,FALSE)</f>
        <v>#N/A</v>
      </c>
      <c r="Q22" s="33">
        <f>VLOOKUP(H22,'Surplus Sharing'!$B$17:$F$50,4,FALSE)</f>
        <v>1000</v>
      </c>
      <c r="R22" s="33"/>
      <c r="T22" s="33">
        <f t="shared" si="2"/>
        <v>47089</v>
      </c>
    </row>
    <row r="23" spans="1:20" x14ac:dyDescent="0.2">
      <c r="A23" s="2">
        <v>20</v>
      </c>
      <c r="B23" s="26" t="s">
        <v>22</v>
      </c>
      <c r="C23" s="51">
        <v>12</v>
      </c>
      <c r="D23" s="52">
        <v>38118</v>
      </c>
      <c r="E23" s="52">
        <v>46392</v>
      </c>
      <c r="F23" s="52">
        <v>54666</v>
      </c>
      <c r="G23" s="18"/>
      <c r="H23" s="8" t="s">
        <v>52</v>
      </c>
      <c r="I23" s="9">
        <v>38579</v>
      </c>
      <c r="J23" s="24">
        <f t="shared" si="3"/>
        <v>10</v>
      </c>
      <c r="K23" s="25">
        <v>41169</v>
      </c>
      <c r="L23" s="31">
        <f t="shared" si="1"/>
        <v>0.18437273386511965</v>
      </c>
      <c r="M23" s="25"/>
      <c r="N23" s="36"/>
      <c r="P23" s="33" t="e">
        <f>VLOOKUP(H23,'Longevity Supplement'!$B$4:$E$14,4,FALSE)</f>
        <v>#N/A</v>
      </c>
      <c r="Q23" s="33">
        <f>VLOOKUP(H23,'Surplus Sharing'!$B$17:$F$50,4,FALSE)</f>
        <v>1000</v>
      </c>
      <c r="R23" s="33"/>
      <c r="T23" s="33">
        <f t="shared" si="2"/>
        <v>41169</v>
      </c>
    </row>
    <row r="24" spans="1:20" x14ac:dyDescent="0.2">
      <c r="A24" s="2">
        <v>21</v>
      </c>
      <c r="B24" s="26" t="s">
        <v>25</v>
      </c>
      <c r="C24" s="51">
        <v>12</v>
      </c>
      <c r="D24" s="52">
        <v>38118</v>
      </c>
      <c r="E24" s="52">
        <v>46392</v>
      </c>
      <c r="F24" s="52">
        <v>54666</v>
      </c>
      <c r="G24" s="20"/>
      <c r="H24" s="8" t="s">
        <v>53</v>
      </c>
      <c r="I24" s="9">
        <v>39115</v>
      </c>
      <c r="J24" s="24">
        <f t="shared" si="3"/>
        <v>8</v>
      </c>
      <c r="K24" s="25">
        <v>40660</v>
      </c>
      <c r="L24" s="31">
        <f t="shared" si="1"/>
        <v>0.15361372975586174</v>
      </c>
      <c r="M24" s="25"/>
      <c r="N24" s="36"/>
      <c r="P24" s="33" t="str">
        <f>VLOOKUP(H24,'Longevity Supplement'!$B$4:$E$14,4,FALSE)</f>
        <v>POLICE SERGEANT</v>
      </c>
      <c r="Q24" s="33">
        <f>VLOOKUP(H24,'Surplus Sharing'!$B$17:$F$50,4,FALSE)</f>
        <v>1000</v>
      </c>
      <c r="R24" s="33"/>
      <c r="T24" s="33">
        <f t="shared" si="2"/>
        <v>40660</v>
      </c>
    </row>
    <row r="25" spans="1:20" x14ac:dyDescent="0.2">
      <c r="A25" s="2">
        <v>22</v>
      </c>
      <c r="B25" s="26" t="s">
        <v>25</v>
      </c>
      <c r="C25" s="51">
        <v>12</v>
      </c>
      <c r="D25" s="52">
        <v>38118</v>
      </c>
      <c r="E25" s="52">
        <v>46392</v>
      </c>
      <c r="F25" s="52">
        <v>54666</v>
      </c>
      <c r="G25" s="20"/>
      <c r="H25" s="8" t="s">
        <v>90</v>
      </c>
      <c r="I25" s="9">
        <v>41423</v>
      </c>
      <c r="J25" s="24">
        <f t="shared" si="3"/>
        <v>2</v>
      </c>
      <c r="K25" s="25">
        <v>42693</v>
      </c>
      <c r="L25" s="31">
        <f t="shared" si="1"/>
        <v>0.27646845540246556</v>
      </c>
      <c r="M25" s="25"/>
      <c r="N25" s="36"/>
      <c r="P25" s="33" t="e">
        <f>VLOOKUP(H25,'Longevity Supplement'!$B$4:$E$14,4,FALSE)</f>
        <v>#N/A</v>
      </c>
      <c r="Q25" s="33">
        <f>VLOOKUP(H25,'Surplus Sharing'!$B$17:$F$50,4,FALSE)</f>
        <v>1000</v>
      </c>
      <c r="R25" s="33"/>
      <c r="T25" s="33">
        <f t="shared" si="2"/>
        <v>42693</v>
      </c>
    </row>
    <row r="26" spans="1:20" x14ac:dyDescent="0.2">
      <c r="A26" s="2">
        <v>23</v>
      </c>
      <c r="B26" s="26" t="s">
        <v>16</v>
      </c>
      <c r="C26" s="51">
        <v>13</v>
      </c>
      <c r="D26" s="52">
        <v>40061</v>
      </c>
      <c r="E26" s="52">
        <v>48757</v>
      </c>
      <c r="F26" s="52">
        <v>57452</v>
      </c>
      <c r="G26" s="20"/>
      <c r="H26" s="8" t="s">
        <v>50</v>
      </c>
      <c r="I26" s="9">
        <v>36397</v>
      </c>
      <c r="J26" s="24">
        <f t="shared" si="3"/>
        <v>16</v>
      </c>
      <c r="K26" s="25">
        <v>44634</v>
      </c>
      <c r="L26" s="31">
        <f t="shared" si="1"/>
        <v>0.26295210166177907</v>
      </c>
      <c r="M26" s="25"/>
      <c r="N26" s="36"/>
      <c r="P26" s="33" t="e">
        <f>VLOOKUP(H26,'Longevity Supplement'!$B$4:$E$14,4,FALSE)</f>
        <v>#N/A</v>
      </c>
      <c r="Q26" s="33">
        <f>VLOOKUP(H26,'Surplus Sharing'!$B$17:$F$50,4,FALSE)</f>
        <v>1000</v>
      </c>
      <c r="R26" s="33"/>
      <c r="T26" s="33">
        <f t="shared" si="2"/>
        <v>44634</v>
      </c>
    </row>
    <row r="27" spans="1:20" x14ac:dyDescent="0.2">
      <c r="A27" s="2">
        <v>24</v>
      </c>
      <c r="B27" s="26" t="s">
        <v>26</v>
      </c>
      <c r="C27" s="51">
        <v>13</v>
      </c>
      <c r="D27" s="52">
        <v>40061</v>
      </c>
      <c r="E27" s="52">
        <v>48757</v>
      </c>
      <c r="F27" s="52">
        <v>57452</v>
      </c>
      <c r="G27" s="20"/>
      <c r="H27" s="8" t="s">
        <v>56</v>
      </c>
      <c r="I27" s="9">
        <v>39722</v>
      </c>
      <c r="J27" s="24">
        <f t="shared" si="3"/>
        <v>6</v>
      </c>
      <c r="K27" s="25">
        <v>42095</v>
      </c>
      <c r="L27" s="31">
        <f t="shared" si="1"/>
        <v>0.1169570467483181</v>
      </c>
      <c r="M27" s="25"/>
      <c r="N27" s="36"/>
      <c r="P27" s="33" t="str">
        <f>VLOOKUP(H27,'Longevity Supplement'!$B$4:$E$14,4,FALSE)</f>
        <v>FIRE CHIEF</v>
      </c>
      <c r="Q27" s="33">
        <f>VLOOKUP(H27,'Surplus Sharing'!$B$17:$F$50,4,FALSE)</f>
        <v>1000</v>
      </c>
      <c r="R27" s="33"/>
      <c r="T27" s="33">
        <f t="shared" si="2"/>
        <v>42095</v>
      </c>
    </row>
    <row r="28" spans="1:20" x14ac:dyDescent="0.2">
      <c r="A28" s="2">
        <v>25</v>
      </c>
      <c r="B28" s="8" t="s">
        <v>32</v>
      </c>
      <c r="C28" s="51">
        <v>13</v>
      </c>
      <c r="D28" s="52">
        <v>40061</v>
      </c>
      <c r="E28" s="52">
        <v>48757</v>
      </c>
      <c r="F28" s="52">
        <v>57452</v>
      </c>
      <c r="G28" s="20"/>
      <c r="H28" s="8" t="s">
        <v>105</v>
      </c>
      <c r="I28" s="9">
        <v>42121</v>
      </c>
      <c r="J28" s="24">
        <f t="shared" si="3"/>
        <v>0</v>
      </c>
      <c r="K28" s="25">
        <v>44498</v>
      </c>
      <c r="L28" s="31">
        <f t="shared" si="1"/>
        <v>0.25513196480938416</v>
      </c>
      <c r="M28" s="25"/>
      <c r="N28" s="36"/>
      <c r="P28" s="33" t="e">
        <f>VLOOKUP(H28,'Longevity Supplement'!$B$4:$E$14,4,FALSE)</f>
        <v>#N/A</v>
      </c>
      <c r="Q28" s="33">
        <f>VLOOKUP(H28,'Surplus Sharing'!$B$17:$F$50,4,FALSE)</f>
        <v>500</v>
      </c>
      <c r="R28" s="33"/>
      <c r="T28" s="33">
        <f t="shared" si="2"/>
        <v>44498</v>
      </c>
    </row>
    <row r="29" spans="1:20" x14ac:dyDescent="0.2">
      <c r="A29" s="2">
        <v>26</v>
      </c>
      <c r="B29" s="26" t="s">
        <v>6</v>
      </c>
      <c r="C29" s="51">
        <v>14</v>
      </c>
      <c r="D29" s="52">
        <v>42104</v>
      </c>
      <c r="E29" s="52">
        <v>51242</v>
      </c>
      <c r="F29" s="52">
        <v>60381</v>
      </c>
      <c r="G29" s="20"/>
      <c r="H29" s="8" t="s">
        <v>55</v>
      </c>
      <c r="I29" s="9">
        <v>32044</v>
      </c>
      <c r="J29" s="24">
        <f t="shared" si="3"/>
        <v>28</v>
      </c>
      <c r="K29" s="25">
        <v>50110</v>
      </c>
      <c r="L29" s="31">
        <f t="shared" si="1"/>
        <v>0.43803687694917109</v>
      </c>
      <c r="M29" s="25"/>
      <c r="N29" s="36"/>
      <c r="P29" s="33" t="e">
        <f>VLOOKUP(H29,'Longevity Supplement'!$B$4:$E$14,4,FALSE)</f>
        <v>#N/A</v>
      </c>
      <c r="Q29" s="33">
        <f>VLOOKUP(H29,'Surplus Sharing'!$B$17:$F$50,4,FALSE)</f>
        <v>1000</v>
      </c>
      <c r="R29" s="33"/>
      <c r="T29" s="33">
        <f t="shared" si="2"/>
        <v>50110</v>
      </c>
    </row>
    <row r="30" spans="1:20" x14ac:dyDescent="0.2">
      <c r="A30" s="2">
        <v>27</v>
      </c>
      <c r="B30" s="8" t="s">
        <v>92</v>
      </c>
      <c r="C30" s="51">
        <v>15</v>
      </c>
      <c r="D30" s="52">
        <v>44251</v>
      </c>
      <c r="E30" s="52">
        <v>53855</v>
      </c>
      <c r="F30" s="52">
        <v>63460</v>
      </c>
      <c r="G30" s="20"/>
      <c r="H30" s="8" t="s">
        <v>93</v>
      </c>
      <c r="I30" s="9">
        <v>40725</v>
      </c>
      <c r="J30" s="24">
        <f t="shared" si="3"/>
        <v>4</v>
      </c>
      <c r="K30" s="25" t="s">
        <v>95</v>
      </c>
      <c r="L30" s="31"/>
      <c r="M30" s="25"/>
      <c r="N30" s="36"/>
      <c r="P30" s="33" t="e">
        <f>VLOOKUP(H30,'Longevity Supplement'!$B$4:$E$14,4,FALSE)</f>
        <v>#N/A</v>
      </c>
      <c r="Q30" s="33">
        <f>VLOOKUP(H30,'Surplus Sharing'!$B$17:$F$50,4,FALSE)</f>
        <v>1000</v>
      </c>
      <c r="R30" s="33"/>
      <c r="T30" s="33" t="s">
        <v>96</v>
      </c>
    </row>
    <row r="31" spans="1:20" x14ac:dyDescent="0.2">
      <c r="A31" s="2">
        <v>28</v>
      </c>
      <c r="B31" s="8" t="s">
        <v>23</v>
      </c>
      <c r="C31" s="51">
        <v>17</v>
      </c>
      <c r="D31" s="52">
        <v>48879</v>
      </c>
      <c r="E31" s="52">
        <v>59488</v>
      </c>
      <c r="F31" s="52">
        <v>70097</v>
      </c>
      <c r="G31" s="20"/>
      <c r="H31" s="8" t="s">
        <v>57</v>
      </c>
      <c r="I31" s="9">
        <v>38843</v>
      </c>
      <c r="J31" s="24">
        <f t="shared" si="3"/>
        <v>9</v>
      </c>
      <c r="K31" s="25">
        <v>51127</v>
      </c>
      <c r="L31" s="31">
        <f t="shared" ref="L31:L36" si="4">+(K31-D31)/(F31-D31)</f>
        <v>0.10594778018663399</v>
      </c>
      <c r="M31" s="25"/>
      <c r="N31" s="36"/>
      <c r="P31" s="33" t="str">
        <f>VLOOKUP(H31,'Longevity Supplement'!$B$4:$E$14,4,FALSE)</f>
        <v>PARKS REC LAKE DIR.</v>
      </c>
      <c r="Q31" s="33">
        <f>VLOOKUP(H31,'Surplus Sharing'!$B$17:$F$50,4,FALSE)</f>
        <v>1000</v>
      </c>
      <c r="R31" s="33"/>
      <c r="T31" s="33">
        <f t="shared" ref="T31:T37" si="5">+R31+K31</f>
        <v>51127</v>
      </c>
    </row>
    <row r="32" spans="1:20" x14ac:dyDescent="0.2">
      <c r="A32" s="2">
        <v>29</v>
      </c>
      <c r="B32" s="8" t="s">
        <v>9</v>
      </c>
      <c r="C32" s="51">
        <v>18</v>
      </c>
      <c r="D32" s="52">
        <v>51371</v>
      </c>
      <c r="E32" s="52">
        <v>62521</v>
      </c>
      <c r="F32" s="52">
        <v>73670</v>
      </c>
      <c r="G32" s="20"/>
      <c r="H32" s="8" t="s">
        <v>58</v>
      </c>
      <c r="I32" s="9">
        <v>32416</v>
      </c>
      <c r="J32" s="24">
        <f t="shared" si="3"/>
        <v>27</v>
      </c>
      <c r="K32" s="25">
        <v>59486</v>
      </c>
      <c r="L32" s="31">
        <f t="shared" si="4"/>
        <v>0.36391766446925872</v>
      </c>
      <c r="M32" s="25"/>
      <c r="N32" s="36"/>
      <c r="P32" s="33" t="e">
        <f>VLOOKUP(H32,'Longevity Supplement'!$B$4:$E$14,4,FALSE)</f>
        <v>#N/A</v>
      </c>
      <c r="Q32" s="33">
        <f>VLOOKUP(H32,'Surplus Sharing'!$B$17:$F$50,4,FALSE)</f>
        <v>1000</v>
      </c>
      <c r="R32" s="33"/>
      <c r="T32" s="33">
        <f t="shared" si="5"/>
        <v>59486</v>
      </c>
    </row>
    <row r="33" spans="1:20" x14ac:dyDescent="0.2">
      <c r="A33" s="2">
        <v>30</v>
      </c>
      <c r="B33" s="8" t="s">
        <v>12</v>
      </c>
      <c r="C33" s="51">
        <v>18</v>
      </c>
      <c r="D33" s="52">
        <v>51371</v>
      </c>
      <c r="E33" s="52">
        <v>62521</v>
      </c>
      <c r="F33" s="52">
        <v>73670</v>
      </c>
      <c r="G33" s="20"/>
      <c r="H33" s="8" t="s">
        <v>59</v>
      </c>
      <c r="I33" s="9">
        <v>34673</v>
      </c>
      <c r="J33" s="24">
        <f t="shared" si="3"/>
        <v>20</v>
      </c>
      <c r="K33" s="25">
        <v>65057</v>
      </c>
      <c r="L33" s="31">
        <f t="shared" si="4"/>
        <v>0.61374949549307145</v>
      </c>
      <c r="M33" s="25"/>
      <c r="N33" s="36"/>
      <c r="P33" s="33" t="e">
        <f>VLOOKUP(H33,'Longevity Supplement'!$B$4:$E$14,4,FALSE)</f>
        <v>#N/A</v>
      </c>
      <c r="Q33" s="33">
        <f>VLOOKUP(H33,'Surplus Sharing'!$B$17:$F$50,4,FALSE)</f>
        <v>1000</v>
      </c>
      <c r="R33" s="33"/>
      <c r="T33" s="33">
        <f t="shared" si="5"/>
        <v>65057</v>
      </c>
    </row>
    <row r="34" spans="1:20" x14ac:dyDescent="0.2">
      <c r="A34" s="2">
        <v>31</v>
      </c>
      <c r="B34" s="8" t="s">
        <v>20</v>
      </c>
      <c r="C34" s="53">
        <v>18</v>
      </c>
      <c r="D34" s="54">
        <v>51371</v>
      </c>
      <c r="E34" s="54">
        <v>62521</v>
      </c>
      <c r="F34" s="54">
        <v>73670</v>
      </c>
      <c r="G34" s="20"/>
      <c r="H34" s="8" t="s">
        <v>60</v>
      </c>
      <c r="I34" s="9">
        <v>38282</v>
      </c>
      <c r="J34" s="24">
        <f t="shared" si="3"/>
        <v>10</v>
      </c>
      <c r="K34" s="25">
        <v>62559</v>
      </c>
      <c r="L34" s="31">
        <f t="shared" si="4"/>
        <v>0.50172653482218932</v>
      </c>
      <c r="M34" s="25"/>
      <c r="N34" s="36"/>
      <c r="P34" s="33" t="e">
        <f>VLOOKUP(H34,'Longevity Supplement'!$B$4:$E$14,4,FALSE)</f>
        <v>#N/A</v>
      </c>
      <c r="Q34" s="33">
        <f>VLOOKUP(H34,'Surplus Sharing'!$B$17:$F$50,4,FALSE)</f>
        <v>1000</v>
      </c>
      <c r="R34" s="33"/>
      <c r="T34" s="33">
        <f t="shared" si="5"/>
        <v>62559</v>
      </c>
    </row>
    <row r="35" spans="1:20" x14ac:dyDescent="0.2">
      <c r="A35" s="2">
        <v>32</v>
      </c>
      <c r="B35" s="8" t="s">
        <v>17</v>
      </c>
      <c r="C35" s="53">
        <v>19</v>
      </c>
      <c r="D35" s="54">
        <v>53991</v>
      </c>
      <c r="E35" s="54">
        <v>65708</v>
      </c>
      <c r="F35" s="54">
        <v>77426</v>
      </c>
      <c r="G35" s="20"/>
      <c r="H35" s="8" t="s">
        <v>62</v>
      </c>
      <c r="I35" s="9">
        <v>36706</v>
      </c>
      <c r="J35" s="24">
        <f t="shared" si="3"/>
        <v>15</v>
      </c>
      <c r="K35" s="25">
        <v>61949</v>
      </c>
      <c r="L35" s="31">
        <f t="shared" si="4"/>
        <v>0.3395775549391935</v>
      </c>
      <c r="M35" s="25"/>
      <c r="N35" s="36"/>
      <c r="P35" s="33" t="str">
        <f>VLOOKUP(H35,'Longevity Supplement'!$B$4:$E$14,4,FALSE)</f>
        <v>POLICE CHIEF</v>
      </c>
      <c r="Q35" s="33">
        <f>VLOOKUP(H35,'Surplus Sharing'!$B$17:$F$50,4,FALSE)</f>
        <v>1000</v>
      </c>
      <c r="R35" s="33"/>
      <c r="T35" s="33">
        <f t="shared" si="5"/>
        <v>61949</v>
      </c>
    </row>
    <row r="36" spans="1:20" x14ac:dyDescent="0.2">
      <c r="A36" s="2">
        <v>33</v>
      </c>
      <c r="B36" s="8" t="s">
        <v>11</v>
      </c>
      <c r="C36" s="53">
        <v>19</v>
      </c>
      <c r="D36" s="54">
        <v>53991</v>
      </c>
      <c r="E36" s="54">
        <v>65708</v>
      </c>
      <c r="F36" s="54">
        <v>77426</v>
      </c>
      <c r="G36" s="20"/>
      <c r="H36" s="8" t="s">
        <v>61</v>
      </c>
      <c r="I36" s="9">
        <v>33780</v>
      </c>
      <c r="J36" s="24">
        <f t="shared" si="3"/>
        <v>23</v>
      </c>
      <c r="K36" s="25">
        <v>77426</v>
      </c>
      <c r="L36" s="31">
        <f t="shared" si="4"/>
        <v>1</v>
      </c>
      <c r="M36" s="25"/>
      <c r="N36" s="36"/>
      <c r="P36" s="33" t="e">
        <f>VLOOKUP(H36,'Longevity Supplement'!$B$4:$E$14,4,FALSE)</f>
        <v>#N/A</v>
      </c>
      <c r="Q36" s="33">
        <f>VLOOKUP(H36,'Surplus Sharing'!$B$17:$F$50,4,FALSE)</f>
        <v>1000</v>
      </c>
      <c r="R36" s="33"/>
      <c r="T36" s="33">
        <f t="shared" si="5"/>
        <v>77426</v>
      </c>
    </row>
    <row r="37" spans="1:20" x14ac:dyDescent="0.2">
      <c r="A37" s="2">
        <v>34</v>
      </c>
      <c r="B37" s="8" t="s">
        <v>27</v>
      </c>
      <c r="C37" s="74" t="s">
        <v>33</v>
      </c>
      <c r="D37" s="75"/>
      <c r="E37" s="75"/>
      <c r="F37" s="76"/>
      <c r="G37" s="20"/>
      <c r="H37" s="8" t="s">
        <v>63</v>
      </c>
      <c r="I37" s="9">
        <v>39833</v>
      </c>
      <c r="J37" s="24">
        <f t="shared" si="3"/>
        <v>6</v>
      </c>
      <c r="K37" s="25">
        <v>133648</v>
      </c>
      <c r="L37" s="3" t="s">
        <v>66</v>
      </c>
      <c r="M37" s="25"/>
      <c r="N37" s="36"/>
      <c r="P37" s="33" t="e">
        <f>VLOOKUP(H37,'Longevity Supplement'!$B$4:$E$14,4,FALSE)</f>
        <v>#N/A</v>
      </c>
      <c r="Q37" s="33">
        <f>VLOOKUP(H37,'Surplus Sharing'!$B$17:$F$50,4,FALSE)</f>
        <v>1000</v>
      </c>
      <c r="R37" s="33"/>
      <c r="T37" s="33">
        <f t="shared" si="5"/>
        <v>133648</v>
      </c>
    </row>
    <row r="38" spans="1:20" x14ac:dyDescent="0.2">
      <c r="J38" s="15"/>
      <c r="N38" s="36"/>
    </row>
    <row r="39" spans="1:20" x14ac:dyDescent="0.2">
      <c r="D39" s="18">
        <f>SUM(D4:D36)</f>
        <v>1267404</v>
      </c>
      <c r="E39" s="18">
        <f>SUM(E4:E36)</f>
        <v>1542488</v>
      </c>
      <c r="F39" s="18">
        <f>SUM(F4:F36)</f>
        <v>1817566</v>
      </c>
      <c r="J39" s="2" t="s">
        <v>74</v>
      </c>
      <c r="K39" s="16">
        <f>SUM(K4:K38)</f>
        <v>1521290</v>
      </c>
      <c r="M39" s="16"/>
      <c r="N39" s="36"/>
      <c r="P39" s="34" t="e">
        <f>SUM(P4:P38)</f>
        <v>#N/A</v>
      </c>
      <c r="Q39" s="34">
        <f>SUM(Q4:Q38)</f>
        <v>33083</v>
      </c>
      <c r="R39" s="34">
        <f>SUM(R4:R38)</f>
        <v>0</v>
      </c>
      <c r="T39" s="34">
        <f>SUM(T4:T38)</f>
        <v>1485021</v>
      </c>
    </row>
    <row r="40" spans="1:20" ht="45" customHeight="1" x14ac:dyDescent="0.2">
      <c r="J40" s="15"/>
      <c r="N40" s="36"/>
      <c r="O40" s="37" t="s">
        <v>98</v>
      </c>
      <c r="P40" s="35" t="e">
        <f>+P41-P39</f>
        <v>#REF!</v>
      </c>
      <c r="Q40" s="35">
        <f>+Q41-Q39</f>
        <v>8366.690700000021</v>
      </c>
      <c r="R40" s="41"/>
    </row>
    <row r="41" spans="1:20" ht="13.5" customHeight="1" x14ac:dyDescent="0.2">
      <c r="I41" s="29" t="s">
        <v>76</v>
      </c>
      <c r="J41" s="30">
        <f>AVERAGE(J4:J37)</f>
        <v>9.764705882352942</v>
      </c>
      <c r="L41" s="32">
        <f>AVERAGE(L4:L36)</f>
        <v>0.29251391014771599</v>
      </c>
      <c r="N41" s="36"/>
      <c r="P41" s="38" t="e">
        <f>+'Longevity Supplement'!#REF!</f>
        <v>#REF!</v>
      </c>
      <c r="Q41" s="38">
        <f>+'Surplus Sharing'!F53</f>
        <v>41449.690700000021</v>
      </c>
      <c r="R41" s="38">
        <f>+R39</f>
        <v>0</v>
      </c>
    </row>
    <row r="42" spans="1:20" ht="20.25" customHeight="1" x14ac:dyDescent="0.2">
      <c r="N42" s="36"/>
    </row>
    <row r="43" spans="1:20" x14ac:dyDescent="0.2">
      <c r="N43" s="36"/>
    </row>
    <row r="44" spans="1:20" ht="24" customHeight="1" x14ac:dyDescent="0.2">
      <c r="N44" s="36"/>
      <c r="P44" s="39" t="s">
        <v>107</v>
      </c>
      <c r="Q44" s="40" t="e">
        <f>+R41+P41+Q41</f>
        <v>#REF!</v>
      </c>
    </row>
  </sheetData>
  <mergeCells count="2">
    <mergeCell ref="C37:F37"/>
    <mergeCell ref="D2:F2"/>
  </mergeCells>
  <phoneticPr fontId="2" type="noConversion"/>
  <pageMargins left="0.3" right="0.39" top="0.61" bottom="1" header="0.5" footer="0.5"/>
  <pageSetup paperSize="5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>
      <selection activeCell="A17" sqref="A17"/>
    </sheetView>
  </sheetViews>
  <sheetFormatPr defaultColWidth="9.140625" defaultRowHeight="18" x14ac:dyDescent="0.25"/>
  <cols>
    <col min="1" max="1" width="9.140625" style="42"/>
    <col min="2" max="2" width="59.7109375" style="42" customWidth="1"/>
    <col min="3" max="3" width="13" style="42" bestFit="1" customWidth="1"/>
    <col min="4" max="16384" width="9.140625" style="42"/>
  </cols>
  <sheetData>
    <row r="4" spans="1:3" x14ac:dyDescent="0.25">
      <c r="A4" s="42" t="s">
        <v>108</v>
      </c>
      <c r="C4" s="49">
        <v>351000</v>
      </c>
    </row>
    <row r="5" spans="1:3" x14ac:dyDescent="0.25">
      <c r="C5" s="43"/>
    </row>
    <row r="6" spans="1:3" x14ac:dyDescent="0.25">
      <c r="C6" s="43"/>
    </row>
    <row r="7" spans="1:3" x14ac:dyDescent="0.25">
      <c r="A7" s="45" t="s">
        <v>97</v>
      </c>
      <c r="C7" s="43"/>
    </row>
    <row r="8" spans="1:3" x14ac:dyDescent="0.25">
      <c r="C8" s="43"/>
    </row>
    <row r="9" spans="1:3" x14ac:dyDescent="0.25">
      <c r="A9" s="47" t="s">
        <v>102</v>
      </c>
      <c r="B9" s="42" t="s">
        <v>100</v>
      </c>
      <c r="C9" s="46">
        <f>+'Surplus Sharing'!F53</f>
        <v>41449.690700000021</v>
      </c>
    </row>
    <row r="10" spans="1:3" x14ac:dyDescent="0.25">
      <c r="A10" s="48"/>
      <c r="C10" s="46"/>
    </row>
    <row r="11" spans="1:3" x14ac:dyDescent="0.25">
      <c r="A11" s="47" t="s">
        <v>103</v>
      </c>
      <c r="B11" s="42" t="s">
        <v>99</v>
      </c>
      <c r="C11" s="43" t="e">
        <f>+'Longevity Supplement'!#REF!</f>
        <v>#REF!</v>
      </c>
    </row>
    <row r="12" spans="1:3" x14ac:dyDescent="0.25">
      <c r="A12" s="48"/>
      <c r="C12" s="44"/>
    </row>
    <row r="13" spans="1:3" x14ac:dyDescent="0.25">
      <c r="B13" s="42" t="s">
        <v>101</v>
      </c>
      <c r="C13" s="43" t="e">
        <f>SUM(C9:C12)</f>
        <v>#REF!</v>
      </c>
    </row>
    <row r="14" spans="1:3" x14ac:dyDescent="0.25">
      <c r="C14" s="43"/>
    </row>
    <row r="15" spans="1:3" x14ac:dyDescent="0.25">
      <c r="C15" s="43"/>
    </row>
    <row r="16" spans="1:3" x14ac:dyDescent="0.25">
      <c r="A16" s="42" t="s">
        <v>109</v>
      </c>
      <c r="C16" s="49" t="e">
        <f>+C4-C13</f>
        <v>#REF!</v>
      </c>
    </row>
  </sheetData>
  <phoneticPr fontId="2" type="noConversion"/>
  <pageMargins left="0.75" right="0.75" top="1" bottom="1" header="0.5" footer="0.5"/>
  <pageSetup orientation="portrait" r:id="rId1"/>
  <headerFooter alignWithMargins="0"/>
  <ignoredErrors>
    <ignoredError sqref="A9: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13" workbookViewId="0">
      <selection activeCell="I44" sqref="I44"/>
    </sheetView>
  </sheetViews>
  <sheetFormatPr defaultColWidth="9.140625" defaultRowHeight="12.75" x14ac:dyDescent="0.2"/>
  <cols>
    <col min="1" max="1" width="5.42578125" style="1" customWidth="1"/>
    <col min="2" max="2" width="17" style="1" customWidth="1"/>
    <col min="3" max="3" width="12.140625" style="2" customWidth="1"/>
    <col min="4" max="4" width="10.140625" style="2" customWidth="1"/>
    <col min="5" max="5" width="12.85546875" style="2" customWidth="1"/>
    <col min="6" max="6" width="12.140625" style="1" customWidth="1"/>
    <col min="7" max="16384" width="9.140625" style="1"/>
  </cols>
  <sheetData>
    <row r="1" spans="1:6" ht="18" x14ac:dyDescent="0.2">
      <c r="A1" s="22" t="s">
        <v>94</v>
      </c>
    </row>
    <row r="3" spans="1:6" x14ac:dyDescent="0.2">
      <c r="B3" s="1" t="s">
        <v>78</v>
      </c>
    </row>
    <row r="4" spans="1:6" x14ac:dyDescent="0.2">
      <c r="B4" s="1" t="s">
        <v>79</v>
      </c>
    </row>
    <row r="6" spans="1:6" x14ac:dyDescent="0.2">
      <c r="B6" s="1" t="s">
        <v>80</v>
      </c>
    </row>
    <row r="7" spans="1:6" x14ac:dyDescent="0.2">
      <c r="B7" s="1" t="s">
        <v>81</v>
      </c>
    </row>
    <row r="8" spans="1:6" x14ac:dyDescent="0.2">
      <c r="B8" s="1" t="s">
        <v>82</v>
      </c>
    </row>
    <row r="10" spans="1:6" x14ac:dyDescent="0.2">
      <c r="B10" s="1" t="s">
        <v>83</v>
      </c>
      <c r="E10" s="3">
        <v>1000</v>
      </c>
      <c r="F10" s="1" t="s">
        <v>77</v>
      </c>
    </row>
    <row r="12" spans="1:6" x14ac:dyDescent="0.2">
      <c r="B12" s="1" t="s">
        <v>2</v>
      </c>
      <c r="E12" s="4">
        <v>0.25290000000000001</v>
      </c>
    </row>
    <row r="14" spans="1:6" x14ac:dyDescent="0.2">
      <c r="B14" s="1" t="s">
        <v>67</v>
      </c>
      <c r="E14" s="9">
        <v>42309</v>
      </c>
    </row>
    <row r="16" spans="1:6" s="5" customFormat="1" ht="25.5" x14ac:dyDescent="0.2">
      <c r="B16" s="5" t="s">
        <v>0</v>
      </c>
      <c r="C16" s="6" t="s">
        <v>73</v>
      </c>
      <c r="D16" s="6" t="s">
        <v>64</v>
      </c>
      <c r="E16" s="6" t="s">
        <v>68</v>
      </c>
      <c r="F16" s="6" t="s">
        <v>1</v>
      </c>
    </row>
    <row r="17" spans="1:6" x14ac:dyDescent="0.2">
      <c r="A17" s="2">
        <v>1</v>
      </c>
      <c r="B17" s="8" t="s">
        <v>55</v>
      </c>
      <c r="C17" s="9">
        <v>32044</v>
      </c>
      <c r="D17" s="10">
        <f>INT(($E$14-C17)/365)</f>
        <v>28</v>
      </c>
      <c r="E17" s="3">
        <f t="shared" ref="E17:E39" si="0">IF(D17&gt;=1,+$E$10,0)</f>
        <v>1000</v>
      </c>
      <c r="F17" s="3">
        <f t="shared" ref="F17:F39" si="1">+E17*(1+$E$12)</f>
        <v>1252.8999999999999</v>
      </c>
    </row>
    <row r="18" spans="1:6" x14ac:dyDescent="0.2">
      <c r="A18" s="2">
        <v>2</v>
      </c>
      <c r="B18" s="8" t="s">
        <v>58</v>
      </c>
      <c r="C18" s="9">
        <v>32416</v>
      </c>
      <c r="D18" s="10">
        <f t="shared" ref="D18:D39" si="2">INT(($E$14-C18)/365)</f>
        <v>27</v>
      </c>
      <c r="E18" s="3">
        <f t="shared" si="0"/>
        <v>1000</v>
      </c>
      <c r="F18" s="3">
        <f t="shared" si="1"/>
        <v>1252.8999999999999</v>
      </c>
    </row>
    <row r="19" spans="1:6" x14ac:dyDescent="0.2">
      <c r="A19" s="2">
        <v>3</v>
      </c>
      <c r="B19" s="8" t="s">
        <v>48</v>
      </c>
      <c r="C19" s="9">
        <v>32595</v>
      </c>
      <c r="D19" s="10">
        <f t="shared" si="2"/>
        <v>26</v>
      </c>
      <c r="E19" s="3">
        <f t="shared" si="0"/>
        <v>1000</v>
      </c>
      <c r="F19" s="3">
        <f t="shared" si="1"/>
        <v>1252.8999999999999</v>
      </c>
    </row>
    <row r="20" spans="1:6" x14ac:dyDescent="0.2">
      <c r="A20" s="2">
        <v>4</v>
      </c>
      <c r="B20" s="8" t="s">
        <v>61</v>
      </c>
      <c r="C20" s="9">
        <v>33780</v>
      </c>
      <c r="D20" s="10">
        <f t="shared" si="2"/>
        <v>23</v>
      </c>
      <c r="E20" s="3">
        <f t="shared" si="0"/>
        <v>1000</v>
      </c>
      <c r="F20" s="3">
        <f t="shared" si="1"/>
        <v>1252.8999999999999</v>
      </c>
    </row>
    <row r="21" spans="1:6" x14ac:dyDescent="0.2">
      <c r="A21" s="2">
        <v>5</v>
      </c>
      <c r="B21" s="8" t="s">
        <v>59</v>
      </c>
      <c r="C21" s="9">
        <v>34673</v>
      </c>
      <c r="D21" s="10">
        <f t="shared" si="2"/>
        <v>20</v>
      </c>
      <c r="E21" s="3">
        <f t="shared" si="0"/>
        <v>1000</v>
      </c>
      <c r="F21" s="3">
        <f t="shared" si="1"/>
        <v>1252.8999999999999</v>
      </c>
    </row>
    <row r="22" spans="1:6" x14ac:dyDescent="0.2">
      <c r="A22" s="2">
        <v>6</v>
      </c>
      <c r="B22" s="8" t="s">
        <v>38</v>
      </c>
      <c r="C22" s="9">
        <v>34828</v>
      </c>
      <c r="D22" s="10">
        <f t="shared" si="2"/>
        <v>20</v>
      </c>
      <c r="E22" s="3">
        <f t="shared" si="0"/>
        <v>1000</v>
      </c>
      <c r="F22" s="3">
        <f t="shared" si="1"/>
        <v>1252.8999999999999</v>
      </c>
    </row>
    <row r="23" spans="1:6" x14ac:dyDescent="0.2">
      <c r="A23" s="2">
        <v>7</v>
      </c>
      <c r="B23" s="8" t="s">
        <v>39</v>
      </c>
      <c r="C23" s="9">
        <v>35191</v>
      </c>
      <c r="D23" s="10">
        <f t="shared" si="2"/>
        <v>19</v>
      </c>
      <c r="E23" s="3">
        <f t="shared" si="0"/>
        <v>1000</v>
      </c>
      <c r="F23" s="3">
        <f t="shared" si="1"/>
        <v>1252.8999999999999</v>
      </c>
    </row>
    <row r="24" spans="1:6" x14ac:dyDescent="0.2">
      <c r="A24" s="2">
        <v>8</v>
      </c>
      <c r="B24" s="8" t="s">
        <v>49</v>
      </c>
      <c r="C24" s="9">
        <v>35646</v>
      </c>
      <c r="D24" s="10">
        <f t="shared" si="2"/>
        <v>18</v>
      </c>
      <c r="E24" s="3">
        <f t="shared" si="0"/>
        <v>1000</v>
      </c>
      <c r="F24" s="3">
        <f t="shared" si="1"/>
        <v>1252.8999999999999</v>
      </c>
    </row>
    <row r="25" spans="1:6" x14ac:dyDescent="0.2">
      <c r="A25" s="2">
        <v>9</v>
      </c>
      <c r="B25" s="8" t="s">
        <v>50</v>
      </c>
      <c r="C25" s="9">
        <v>36397</v>
      </c>
      <c r="D25" s="10">
        <f t="shared" si="2"/>
        <v>16</v>
      </c>
      <c r="E25" s="3">
        <f t="shared" si="0"/>
        <v>1000</v>
      </c>
      <c r="F25" s="3">
        <f t="shared" si="1"/>
        <v>1252.8999999999999</v>
      </c>
    </row>
    <row r="26" spans="1:6" x14ac:dyDescent="0.2">
      <c r="A26" s="2">
        <v>10</v>
      </c>
      <c r="B26" s="8" t="s">
        <v>62</v>
      </c>
      <c r="C26" s="9">
        <v>36706</v>
      </c>
      <c r="D26" s="10">
        <f t="shared" si="2"/>
        <v>15</v>
      </c>
      <c r="E26" s="3">
        <f t="shared" si="0"/>
        <v>1000</v>
      </c>
      <c r="F26" s="3">
        <f t="shared" si="1"/>
        <v>1252.8999999999999</v>
      </c>
    </row>
    <row r="27" spans="1:6" x14ac:dyDescent="0.2">
      <c r="A27" s="2">
        <v>11</v>
      </c>
      <c r="B27" s="8" t="s">
        <v>51</v>
      </c>
      <c r="C27" s="9">
        <v>37823</v>
      </c>
      <c r="D27" s="10">
        <f t="shared" si="2"/>
        <v>12</v>
      </c>
      <c r="E27" s="3">
        <f t="shared" si="0"/>
        <v>1000</v>
      </c>
      <c r="F27" s="3">
        <f t="shared" si="1"/>
        <v>1252.8999999999999</v>
      </c>
    </row>
    <row r="28" spans="1:6" x14ac:dyDescent="0.2">
      <c r="A28" s="2">
        <v>12</v>
      </c>
      <c r="B28" s="8" t="s">
        <v>37</v>
      </c>
      <c r="C28" s="9">
        <v>38187</v>
      </c>
      <c r="D28" s="10">
        <f t="shared" si="2"/>
        <v>11</v>
      </c>
      <c r="E28" s="3">
        <f t="shared" si="0"/>
        <v>1000</v>
      </c>
      <c r="F28" s="3">
        <f t="shared" si="1"/>
        <v>1252.8999999999999</v>
      </c>
    </row>
    <row r="29" spans="1:6" x14ac:dyDescent="0.2">
      <c r="A29" s="2">
        <v>13</v>
      </c>
      <c r="B29" s="8" t="s">
        <v>60</v>
      </c>
      <c r="C29" s="9">
        <v>38282</v>
      </c>
      <c r="D29" s="10">
        <f t="shared" si="2"/>
        <v>11</v>
      </c>
      <c r="E29" s="3">
        <f t="shared" si="0"/>
        <v>1000</v>
      </c>
      <c r="F29" s="3">
        <f t="shared" si="1"/>
        <v>1252.8999999999999</v>
      </c>
    </row>
    <row r="30" spans="1:6" x14ac:dyDescent="0.2">
      <c r="A30" s="2">
        <v>14</v>
      </c>
      <c r="B30" s="8" t="s">
        <v>36</v>
      </c>
      <c r="C30" s="9">
        <v>38537</v>
      </c>
      <c r="D30" s="10">
        <f t="shared" si="2"/>
        <v>10</v>
      </c>
      <c r="E30" s="3">
        <f t="shared" si="0"/>
        <v>1000</v>
      </c>
      <c r="F30" s="3">
        <f t="shared" si="1"/>
        <v>1252.8999999999999</v>
      </c>
    </row>
    <row r="31" spans="1:6" x14ac:dyDescent="0.2">
      <c r="A31" s="2">
        <v>15</v>
      </c>
      <c r="B31" s="8" t="s">
        <v>52</v>
      </c>
      <c r="C31" s="9">
        <v>38579</v>
      </c>
      <c r="D31" s="10">
        <f t="shared" si="2"/>
        <v>10</v>
      </c>
      <c r="E31" s="3">
        <f t="shared" si="0"/>
        <v>1000</v>
      </c>
      <c r="F31" s="3">
        <f t="shared" si="1"/>
        <v>1252.8999999999999</v>
      </c>
    </row>
    <row r="32" spans="1:6" x14ac:dyDescent="0.2">
      <c r="A32" s="2">
        <v>16</v>
      </c>
      <c r="B32" s="8" t="s">
        <v>57</v>
      </c>
      <c r="C32" s="9">
        <v>38843</v>
      </c>
      <c r="D32" s="10">
        <f t="shared" si="2"/>
        <v>9</v>
      </c>
      <c r="E32" s="3">
        <f t="shared" si="0"/>
        <v>1000</v>
      </c>
      <c r="F32" s="3">
        <f t="shared" si="1"/>
        <v>1252.8999999999999</v>
      </c>
    </row>
    <row r="33" spans="1:6" x14ac:dyDescent="0.2">
      <c r="A33" s="2">
        <v>17</v>
      </c>
      <c r="B33" s="8" t="s">
        <v>40</v>
      </c>
      <c r="C33" s="9">
        <v>39051</v>
      </c>
      <c r="D33" s="10">
        <f t="shared" si="2"/>
        <v>8</v>
      </c>
      <c r="E33" s="3">
        <f t="shared" si="0"/>
        <v>1000</v>
      </c>
      <c r="F33" s="3">
        <f t="shared" si="1"/>
        <v>1252.8999999999999</v>
      </c>
    </row>
    <row r="34" spans="1:6" x14ac:dyDescent="0.2">
      <c r="A34" s="2">
        <v>18</v>
      </c>
      <c r="B34" s="8" t="s">
        <v>53</v>
      </c>
      <c r="C34" s="9">
        <v>39115</v>
      </c>
      <c r="D34" s="10">
        <f t="shared" si="2"/>
        <v>8</v>
      </c>
      <c r="E34" s="3">
        <f t="shared" si="0"/>
        <v>1000</v>
      </c>
      <c r="F34" s="3">
        <f t="shared" si="1"/>
        <v>1252.8999999999999</v>
      </c>
    </row>
    <row r="35" spans="1:6" x14ac:dyDescent="0.2">
      <c r="A35" s="2">
        <v>19</v>
      </c>
      <c r="B35" s="8" t="s">
        <v>54</v>
      </c>
      <c r="C35" s="9">
        <v>39706</v>
      </c>
      <c r="D35" s="10">
        <f t="shared" si="2"/>
        <v>7</v>
      </c>
      <c r="E35" s="3">
        <f t="shared" si="0"/>
        <v>1000</v>
      </c>
      <c r="F35" s="3">
        <f t="shared" si="1"/>
        <v>1252.8999999999999</v>
      </c>
    </row>
    <row r="36" spans="1:6" x14ac:dyDescent="0.2">
      <c r="A36" s="2">
        <v>20</v>
      </c>
      <c r="B36" s="8" t="s">
        <v>56</v>
      </c>
      <c r="C36" s="9">
        <v>39722</v>
      </c>
      <c r="D36" s="10">
        <f t="shared" si="2"/>
        <v>7</v>
      </c>
      <c r="E36" s="3">
        <f t="shared" si="0"/>
        <v>1000</v>
      </c>
      <c r="F36" s="3">
        <f t="shared" si="1"/>
        <v>1252.8999999999999</v>
      </c>
    </row>
    <row r="37" spans="1:6" x14ac:dyDescent="0.2">
      <c r="A37" s="2">
        <v>21</v>
      </c>
      <c r="B37" s="8" t="s">
        <v>63</v>
      </c>
      <c r="C37" s="9">
        <v>39833</v>
      </c>
      <c r="D37" s="10">
        <f t="shared" si="2"/>
        <v>6</v>
      </c>
      <c r="E37" s="3">
        <f t="shared" si="0"/>
        <v>1000</v>
      </c>
      <c r="F37" s="3">
        <f t="shared" si="1"/>
        <v>1252.8999999999999</v>
      </c>
    </row>
    <row r="38" spans="1:6" x14ac:dyDescent="0.2">
      <c r="A38" s="2">
        <v>22</v>
      </c>
      <c r="B38" s="8" t="s">
        <v>93</v>
      </c>
      <c r="C38" s="9">
        <v>40725</v>
      </c>
      <c r="D38" s="10">
        <f t="shared" si="2"/>
        <v>4</v>
      </c>
      <c r="E38" s="3">
        <f t="shared" si="0"/>
        <v>1000</v>
      </c>
      <c r="F38" s="3">
        <f t="shared" si="1"/>
        <v>1252.8999999999999</v>
      </c>
    </row>
    <row r="39" spans="1:6" x14ac:dyDescent="0.2">
      <c r="A39" s="2">
        <v>23</v>
      </c>
      <c r="B39" s="8" t="s">
        <v>35</v>
      </c>
      <c r="C39" s="9">
        <v>40604</v>
      </c>
      <c r="D39" s="10">
        <f t="shared" si="2"/>
        <v>4</v>
      </c>
      <c r="E39" s="3">
        <f t="shared" si="0"/>
        <v>1000</v>
      </c>
      <c r="F39" s="3">
        <f t="shared" si="1"/>
        <v>1252.8999999999999</v>
      </c>
    </row>
    <row r="40" spans="1:6" x14ac:dyDescent="0.2">
      <c r="A40" s="2">
        <v>24</v>
      </c>
      <c r="B40" s="8" t="s">
        <v>41</v>
      </c>
      <c r="C40" s="9">
        <v>41060</v>
      </c>
      <c r="D40" s="10">
        <f t="shared" ref="D40:D50" si="3">INT(($E$14-C40)/365)</f>
        <v>3</v>
      </c>
      <c r="E40" s="3">
        <f t="shared" ref="E40:E47" si="4">IF(D40&gt;=1,+$E$10,0)</f>
        <v>1000</v>
      </c>
      <c r="F40" s="3">
        <f t="shared" ref="F40:F50" si="5">+E40*(1+$E$12)</f>
        <v>1252.8999999999999</v>
      </c>
    </row>
    <row r="41" spans="1:6" x14ac:dyDescent="0.2">
      <c r="A41" s="2">
        <v>25</v>
      </c>
      <c r="B41" s="8" t="s">
        <v>47</v>
      </c>
      <c r="C41" s="9">
        <v>41181</v>
      </c>
      <c r="D41" s="10">
        <f t="shared" si="3"/>
        <v>3</v>
      </c>
      <c r="E41" s="3">
        <f t="shared" si="4"/>
        <v>1000</v>
      </c>
      <c r="F41" s="3">
        <f t="shared" si="5"/>
        <v>1252.8999999999999</v>
      </c>
    </row>
    <row r="42" spans="1:6" x14ac:dyDescent="0.2">
      <c r="A42" s="2">
        <v>26</v>
      </c>
      <c r="B42" s="8" t="s">
        <v>42</v>
      </c>
      <c r="C42" s="9">
        <v>41379</v>
      </c>
      <c r="D42" s="10">
        <f t="shared" si="3"/>
        <v>2</v>
      </c>
      <c r="E42" s="3">
        <f t="shared" si="4"/>
        <v>1000</v>
      </c>
      <c r="F42" s="3">
        <f t="shared" si="5"/>
        <v>1252.8999999999999</v>
      </c>
    </row>
    <row r="43" spans="1:6" x14ac:dyDescent="0.2">
      <c r="A43" s="2">
        <v>27</v>
      </c>
      <c r="B43" s="8" t="s">
        <v>43</v>
      </c>
      <c r="C43" s="9">
        <v>41404</v>
      </c>
      <c r="D43" s="10">
        <f t="shared" si="3"/>
        <v>2</v>
      </c>
      <c r="E43" s="3">
        <f t="shared" si="4"/>
        <v>1000</v>
      </c>
      <c r="F43" s="3">
        <f t="shared" si="5"/>
        <v>1252.8999999999999</v>
      </c>
    </row>
    <row r="44" spans="1:6" x14ac:dyDescent="0.2">
      <c r="A44" s="2">
        <v>28</v>
      </c>
      <c r="B44" s="8" t="s">
        <v>90</v>
      </c>
      <c r="C44" s="9">
        <v>41423</v>
      </c>
      <c r="D44" s="10">
        <f t="shared" si="3"/>
        <v>2</v>
      </c>
      <c r="E44" s="3">
        <f t="shared" si="4"/>
        <v>1000</v>
      </c>
      <c r="F44" s="3">
        <f t="shared" si="5"/>
        <v>1252.8999999999999</v>
      </c>
    </row>
    <row r="45" spans="1:6" x14ac:dyDescent="0.2">
      <c r="A45" s="2">
        <v>29</v>
      </c>
      <c r="B45" s="8" t="s">
        <v>44</v>
      </c>
      <c r="C45" s="9">
        <v>41502</v>
      </c>
      <c r="D45" s="10">
        <f t="shared" si="3"/>
        <v>2</v>
      </c>
      <c r="E45" s="3">
        <f t="shared" si="4"/>
        <v>1000</v>
      </c>
      <c r="F45" s="3">
        <f t="shared" si="5"/>
        <v>1252.8999999999999</v>
      </c>
    </row>
    <row r="46" spans="1:6" x14ac:dyDescent="0.2">
      <c r="A46" s="2">
        <v>30</v>
      </c>
      <c r="B46" s="8" t="s">
        <v>45</v>
      </c>
      <c r="C46" s="9">
        <v>41702</v>
      </c>
      <c r="D46" s="10">
        <f t="shared" si="3"/>
        <v>1</v>
      </c>
      <c r="E46" s="3">
        <f t="shared" si="4"/>
        <v>1000</v>
      </c>
      <c r="F46" s="3">
        <f t="shared" si="5"/>
        <v>1252.8999999999999</v>
      </c>
    </row>
    <row r="47" spans="1:6" x14ac:dyDescent="0.2">
      <c r="A47" s="2">
        <v>31</v>
      </c>
      <c r="B47" s="8" t="s">
        <v>46</v>
      </c>
      <c r="C47" s="9">
        <v>41831</v>
      </c>
      <c r="D47" s="10">
        <f t="shared" si="3"/>
        <v>1</v>
      </c>
      <c r="E47" s="3">
        <f t="shared" si="4"/>
        <v>1000</v>
      </c>
      <c r="F47" s="3">
        <f t="shared" si="5"/>
        <v>1252.8999999999999</v>
      </c>
    </row>
    <row r="48" spans="1:6" x14ac:dyDescent="0.2">
      <c r="A48" s="2">
        <v>32</v>
      </c>
      <c r="B48" s="8" t="s">
        <v>106</v>
      </c>
      <c r="C48" s="9">
        <v>41988</v>
      </c>
      <c r="D48" s="10">
        <f t="shared" si="3"/>
        <v>0</v>
      </c>
      <c r="E48" s="3">
        <v>833</v>
      </c>
      <c r="F48" s="3">
        <f t="shared" si="5"/>
        <v>1043.6657</v>
      </c>
    </row>
    <row r="49" spans="1:6" x14ac:dyDescent="0.2">
      <c r="A49" s="2">
        <v>33</v>
      </c>
      <c r="B49" s="8" t="s">
        <v>104</v>
      </c>
      <c r="C49" s="9">
        <v>42011</v>
      </c>
      <c r="D49" s="10">
        <f t="shared" si="3"/>
        <v>0</v>
      </c>
      <c r="E49" s="3">
        <v>750</v>
      </c>
      <c r="F49" s="3">
        <f t="shared" si="5"/>
        <v>939.67499999999995</v>
      </c>
    </row>
    <row r="50" spans="1:6" x14ac:dyDescent="0.2">
      <c r="A50" s="2">
        <v>34</v>
      </c>
      <c r="B50" s="8" t="s">
        <v>105</v>
      </c>
      <c r="C50" s="9">
        <v>42121</v>
      </c>
      <c r="D50" s="10">
        <f t="shared" si="3"/>
        <v>0</v>
      </c>
      <c r="E50" s="3">
        <v>500</v>
      </c>
      <c r="F50" s="3">
        <f t="shared" si="5"/>
        <v>626.44999999999993</v>
      </c>
    </row>
    <row r="51" spans="1:6" x14ac:dyDescent="0.2">
      <c r="B51" s="11"/>
      <c r="C51" s="12"/>
      <c r="D51" s="13"/>
      <c r="E51" s="14"/>
      <c r="F51" s="14"/>
    </row>
    <row r="52" spans="1:6" ht="13.5" thickBot="1" x14ac:dyDescent="0.25"/>
    <row r="53" spans="1:6" ht="14.25" thickTop="1" thickBot="1" x14ac:dyDescent="0.25">
      <c r="C53" s="15" t="s">
        <v>69</v>
      </c>
      <c r="E53" s="16">
        <f>SUM(E17:E52)</f>
        <v>33083</v>
      </c>
      <c r="F53" s="21">
        <f>SUM(F17:F52)</f>
        <v>41449.690700000021</v>
      </c>
    </row>
    <row r="54" spans="1:6" ht="13.5" thickTop="1" x14ac:dyDescent="0.2"/>
    <row r="55" spans="1:6" x14ac:dyDescent="0.2">
      <c r="C55" s="15" t="s">
        <v>3</v>
      </c>
      <c r="E55" s="16">
        <f>+Recommendations!K39</f>
        <v>1521290</v>
      </c>
    </row>
    <row r="56" spans="1:6" x14ac:dyDescent="0.2">
      <c r="C56" s="15" t="s">
        <v>34</v>
      </c>
      <c r="F56" s="17">
        <f>+F53/E55</f>
        <v>2.7246409757508444E-2</v>
      </c>
    </row>
  </sheetData>
  <phoneticPr fontId="2" type="noConversion"/>
  <pageMargins left="0.75" right="0.75" top="1" bottom="1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150" zoomScaleNormal="150" workbookViewId="0">
      <selection activeCell="K6" sqref="K6"/>
    </sheetView>
  </sheetViews>
  <sheetFormatPr defaultColWidth="9.140625" defaultRowHeight="12.75" x14ac:dyDescent="0.2"/>
  <cols>
    <col min="1" max="1" width="5.42578125" style="1" customWidth="1"/>
    <col min="2" max="2" width="20.140625" style="1" customWidth="1"/>
    <col min="3" max="3" width="12.140625" style="2" customWidth="1"/>
    <col min="4" max="4" width="18.85546875" style="2" customWidth="1"/>
    <col min="5" max="5" width="40.7109375" style="2" customWidth="1"/>
    <col min="6" max="6" width="15.28515625" style="1" customWidth="1"/>
    <col min="7" max="16384" width="9.140625" style="1"/>
  </cols>
  <sheetData>
    <row r="1" spans="1:7" ht="18" x14ac:dyDescent="0.2">
      <c r="A1" s="22" t="s">
        <v>178</v>
      </c>
    </row>
    <row r="3" spans="1:7" s="5" customFormat="1" x14ac:dyDescent="0.2">
      <c r="A3" s="55"/>
      <c r="B3" t="s">
        <v>0</v>
      </c>
      <c r="C3" t="s">
        <v>73</v>
      </c>
      <c r="D3" t="s">
        <v>140</v>
      </c>
      <c r="E3" t="s">
        <v>147</v>
      </c>
      <c r="F3" t="s">
        <v>149</v>
      </c>
      <c r="G3" s="56"/>
    </row>
    <row r="4" spans="1:7" ht="15" x14ac:dyDescent="0.25">
      <c r="A4" s="10">
        <v>1</v>
      </c>
      <c r="B4" s="69" t="s">
        <v>62</v>
      </c>
      <c r="C4" s="57">
        <v>36706</v>
      </c>
      <c r="D4" s="70" t="s">
        <v>141</v>
      </c>
      <c r="E4" s="71" t="s">
        <v>148</v>
      </c>
      <c r="F4" s="61">
        <v>89407</v>
      </c>
    </row>
    <row r="5" spans="1:7" ht="15" x14ac:dyDescent="0.25">
      <c r="A5" s="10">
        <v>2</v>
      </c>
      <c r="B5" s="69" t="s">
        <v>37</v>
      </c>
      <c r="C5" s="57">
        <v>38187</v>
      </c>
      <c r="D5" s="70" t="s">
        <v>142</v>
      </c>
      <c r="E5" s="71" t="s">
        <v>180</v>
      </c>
      <c r="F5" s="61">
        <v>47961</v>
      </c>
    </row>
    <row r="6" spans="1:7" ht="15" x14ac:dyDescent="0.25">
      <c r="A6" s="10">
        <v>3</v>
      </c>
      <c r="B6" s="69" t="s">
        <v>57</v>
      </c>
      <c r="C6" s="57">
        <v>38843</v>
      </c>
      <c r="D6" s="70" t="s">
        <v>143</v>
      </c>
      <c r="E6" s="71" t="s">
        <v>151</v>
      </c>
      <c r="F6" s="61">
        <v>71544</v>
      </c>
    </row>
    <row r="7" spans="1:7" ht="15" x14ac:dyDescent="0.25">
      <c r="A7" s="10">
        <v>4</v>
      </c>
      <c r="B7" s="69" t="s">
        <v>53</v>
      </c>
      <c r="C7" s="57">
        <v>39115</v>
      </c>
      <c r="D7" s="70" t="s">
        <v>141</v>
      </c>
      <c r="E7" s="71" t="s">
        <v>152</v>
      </c>
      <c r="F7" s="61">
        <v>55687</v>
      </c>
    </row>
    <row r="8" spans="1:7" ht="15" x14ac:dyDescent="0.25">
      <c r="A8" s="10">
        <v>5</v>
      </c>
      <c r="B8" s="69" t="s">
        <v>54</v>
      </c>
      <c r="C8" s="57">
        <v>39706</v>
      </c>
      <c r="D8" s="70" t="s">
        <v>141</v>
      </c>
      <c r="E8" s="71" t="s">
        <v>153</v>
      </c>
      <c r="F8" s="61">
        <v>49802</v>
      </c>
    </row>
    <row r="9" spans="1:7" ht="15" x14ac:dyDescent="0.25">
      <c r="A9" s="10">
        <v>6</v>
      </c>
      <c r="B9" s="69" t="s">
        <v>56</v>
      </c>
      <c r="C9" s="57">
        <v>39722</v>
      </c>
      <c r="D9" s="70" t="s">
        <v>144</v>
      </c>
      <c r="E9" s="71" t="s">
        <v>154</v>
      </c>
      <c r="F9" s="61">
        <v>80276</v>
      </c>
    </row>
    <row r="10" spans="1:7" ht="15" x14ac:dyDescent="0.25">
      <c r="A10" s="10">
        <v>7</v>
      </c>
      <c r="B10" s="69" t="s">
        <v>35</v>
      </c>
      <c r="C10" s="57">
        <v>40604</v>
      </c>
      <c r="D10" s="70" t="s">
        <v>141</v>
      </c>
      <c r="E10" s="71" t="s">
        <v>155</v>
      </c>
      <c r="F10" s="61">
        <v>48263</v>
      </c>
    </row>
    <row r="11" spans="1:7" ht="15" x14ac:dyDescent="0.25">
      <c r="A11" s="10">
        <v>8</v>
      </c>
      <c r="B11" s="69" t="s">
        <v>41</v>
      </c>
      <c r="C11" s="57">
        <v>41060</v>
      </c>
      <c r="D11" s="70" t="s">
        <v>141</v>
      </c>
      <c r="E11" s="71" t="s">
        <v>152</v>
      </c>
      <c r="F11" s="61">
        <v>51474</v>
      </c>
    </row>
    <row r="12" spans="1:7" ht="15" x14ac:dyDescent="0.25">
      <c r="A12" s="10">
        <v>9</v>
      </c>
      <c r="B12" s="69" t="s">
        <v>43</v>
      </c>
      <c r="C12" s="57">
        <v>41404</v>
      </c>
      <c r="D12" s="70" t="s">
        <v>144</v>
      </c>
      <c r="E12" s="71" t="s">
        <v>156</v>
      </c>
      <c r="F12" s="61">
        <v>56700</v>
      </c>
    </row>
    <row r="13" spans="1:7" ht="15" x14ac:dyDescent="0.25">
      <c r="A13" s="10">
        <v>10</v>
      </c>
      <c r="B13" s="69" t="s">
        <v>46</v>
      </c>
      <c r="C13" s="57">
        <v>41831</v>
      </c>
      <c r="D13" s="70" t="s">
        <v>141</v>
      </c>
      <c r="E13" s="71" t="s">
        <v>157</v>
      </c>
      <c r="F13" s="61">
        <v>49192</v>
      </c>
    </row>
    <row r="14" spans="1:7" ht="15" x14ac:dyDescent="0.25">
      <c r="A14" s="10">
        <v>11</v>
      </c>
      <c r="B14" s="69" t="s">
        <v>110</v>
      </c>
      <c r="C14" s="57">
        <v>42131</v>
      </c>
      <c r="D14" s="70" t="s">
        <v>142</v>
      </c>
      <c r="E14" s="71" t="s">
        <v>179</v>
      </c>
      <c r="F14" s="61">
        <v>45864</v>
      </c>
    </row>
    <row r="15" spans="1:7" ht="15" x14ac:dyDescent="0.25">
      <c r="A15" s="10">
        <v>12</v>
      </c>
      <c r="B15" s="69" t="s">
        <v>112</v>
      </c>
      <c r="C15" s="57">
        <v>43124</v>
      </c>
      <c r="D15" s="70" t="s">
        <v>144</v>
      </c>
      <c r="E15" s="71" t="s">
        <v>158</v>
      </c>
      <c r="F15" s="61">
        <v>44200</v>
      </c>
    </row>
    <row r="16" spans="1:7" ht="15" x14ac:dyDescent="0.25">
      <c r="A16" s="10">
        <v>13</v>
      </c>
      <c r="B16" s="69" t="s">
        <v>113</v>
      </c>
      <c r="C16" s="57">
        <v>43339</v>
      </c>
      <c r="D16" s="70" t="s">
        <v>143</v>
      </c>
      <c r="E16" s="71" t="s">
        <v>150</v>
      </c>
      <c r="F16" s="61">
        <v>36471</v>
      </c>
    </row>
    <row r="17" spans="1:10" ht="15" x14ac:dyDescent="0.25">
      <c r="A17" s="10">
        <v>14</v>
      </c>
      <c r="B17" s="69" t="s">
        <v>114</v>
      </c>
      <c r="C17" s="57">
        <v>43402</v>
      </c>
      <c r="D17" s="70" t="s">
        <v>144</v>
      </c>
      <c r="E17" s="71" t="s">
        <v>159</v>
      </c>
      <c r="F17" s="61">
        <v>41194</v>
      </c>
    </row>
    <row r="18" spans="1:10" ht="15" x14ac:dyDescent="0.25">
      <c r="A18" s="10">
        <v>15</v>
      </c>
      <c r="B18" s="69" t="s">
        <v>115</v>
      </c>
      <c r="C18" s="57">
        <v>43405</v>
      </c>
      <c r="D18" s="70" t="s">
        <v>160</v>
      </c>
      <c r="E18" s="71" t="s">
        <v>181</v>
      </c>
      <c r="F18" s="61">
        <v>49877</v>
      </c>
    </row>
    <row r="19" spans="1:10" ht="15" x14ac:dyDescent="0.25">
      <c r="A19" s="10">
        <v>16</v>
      </c>
      <c r="B19" s="69" t="s">
        <v>116</v>
      </c>
      <c r="C19" s="57">
        <v>43507</v>
      </c>
      <c r="D19" s="70" t="s">
        <v>142</v>
      </c>
      <c r="E19" s="71" t="s">
        <v>161</v>
      </c>
      <c r="F19" s="61">
        <v>57750</v>
      </c>
    </row>
    <row r="20" spans="1:10" ht="15" x14ac:dyDescent="0.25">
      <c r="A20" s="10">
        <v>17</v>
      </c>
      <c r="B20" s="69" t="s">
        <v>117</v>
      </c>
      <c r="C20" s="57">
        <v>43541</v>
      </c>
      <c r="D20" s="70" t="s">
        <v>141</v>
      </c>
      <c r="E20" s="71" t="s">
        <v>153</v>
      </c>
      <c r="F20" s="61">
        <v>46100</v>
      </c>
    </row>
    <row r="21" spans="1:10" ht="15" x14ac:dyDescent="0.25">
      <c r="A21" s="65">
        <v>18</v>
      </c>
      <c r="B21" s="69" t="s">
        <v>121</v>
      </c>
      <c r="C21" s="57">
        <v>43794</v>
      </c>
      <c r="D21" s="72" t="s">
        <v>144</v>
      </c>
      <c r="E21" s="73" t="s">
        <v>159</v>
      </c>
      <c r="F21" s="60">
        <v>40984</v>
      </c>
    </row>
    <row r="22" spans="1:10" ht="15" x14ac:dyDescent="0.25">
      <c r="A22" s="66">
        <v>19</v>
      </c>
      <c r="B22" s="69" t="s">
        <v>118</v>
      </c>
      <c r="C22" s="57">
        <v>43878</v>
      </c>
      <c r="D22" s="72" t="s">
        <v>142</v>
      </c>
      <c r="E22" s="73" t="s">
        <v>162</v>
      </c>
      <c r="F22" s="61">
        <v>57750</v>
      </c>
    </row>
    <row r="23" spans="1:10" ht="15" x14ac:dyDescent="0.25">
      <c r="A23" s="66">
        <v>20</v>
      </c>
      <c r="B23" s="69" t="s">
        <v>119</v>
      </c>
      <c r="C23" s="57">
        <v>43888</v>
      </c>
      <c r="D23" s="72" t="s">
        <v>141</v>
      </c>
      <c r="E23" s="73" t="s">
        <v>153</v>
      </c>
      <c r="F23" s="61">
        <v>46100</v>
      </c>
    </row>
    <row r="24" spans="1:10" ht="15" x14ac:dyDescent="0.25">
      <c r="A24" s="66">
        <v>21</v>
      </c>
      <c r="B24" s="69" t="s">
        <v>123</v>
      </c>
      <c r="C24" s="57">
        <v>43906</v>
      </c>
      <c r="D24" s="72" t="s">
        <v>142</v>
      </c>
      <c r="E24" s="73" t="s">
        <v>163</v>
      </c>
      <c r="F24" s="61">
        <v>96893</v>
      </c>
    </row>
    <row r="25" spans="1:10" ht="15" x14ac:dyDescent="0.25">
      <c r="A25" s="66">
        <v>22</v>
      </c>
      <c r="B25" s="69" t="s">
        <v>120</v>
      </c>
      <c r="C25" s="57">
        <v>43969</v>
      </c>
      <c r="D25" s="72" t="s">
        <v>144</v>
      </c>
      <c r="E25" s="73" t="s">
        <v>159</v>
      </c>
      <c r="F25" s="60">
        <v>40984</v>
      </c>
    </row>
    <row r="26" spans="1:10" ht="15" x14ac:dyDescent="0.25">
      <c r="A26" s="66">
        <v>23</v>
      </c>
      <c r="B26" s="69" t="s">
        <v>122</v>
      </c>
      <c r="C26" s="57">
        <v>43997</v>
      </c>
      <c r="D26" s="72" t="s">
        <v>143</v>
      </c>
      <c r="E26" s="73" t="s">
        <v>164</v>
      </c>
      <c r="F26" s="60">
        <v>57081</v>
      </c>
      <c r="G26" s="56"/>
    </row>
    <row r="27" spans="1:10" ht="15" x14ac:dyDescent="0.25">
      <c r="A27" s="66">
        <v>24</v>
      </c>
      <c r="B27" s="69" t="s">
        <v>124</v>
      </c>
      <c r="C27" s="57">
        <v>44132</v>
      </c>
      <c r="D27" s="72" t="s">
        <v>141</v>
      </c>
      <c r="E27" s="73" t="s">
        <v>153</v>
      </c>
      <c r="F27" s="60">
        <v>46072</v>
      </c>
      <c r="G27" s="56"/>
      <c r="H27" s="56"/>
      <c r="I27" s="56"/>
      <c r="J27" s="56"/>
    </row>
    <row r="28" spans="1:10" ht="15" x14ac:dyDescent="0.25">
      <c r="A28" s="66">
        <v>25</v>
      </c>
      <c r="B28" s="69" t="s">
        <v>125</v>
      </c>
      <c r="C28" s="57">
        <v>44194</v>
      </c>
      <c r="D28" s="73" t="s">
        <v>146</v>
      </c>
      <c r="E28" s="73" t="s">
        <v>165</v>
      </c>
      <c r="F28" s="60">
        <v>64547</v>
      </c>
      <c r="G28" s="56"/>
    </row>
    <row r="29" spans="1:10" ht="15" x14ac:dyDescent="0.25">
      <c r="A29" s="66">
        <v>26</v>
      </c>
      <c r="B29" s="69" t="s">
        <v>127</v>
      </c>
      <c r="C29" s="57">
        <v>44362</v>
      </c>
      <c r="D29" s="73" t="s">
        <v>145</v>
      </c>
      <c r="E29" s="73" t="s">
        <v>166</v>
      </c>
      <c r="F29" s="60">
        <v>77126</v>
      </c>
    </row>
    <row r="30" spans="1:10" ht="15" x14ac:dyDescent="0.25">
      <c r="A30" s="66">
        <v>27</v>
      </c>
      <c r="B30" s="69" t="s">
        <v>128</v>
      </c>
      <c r="C30" s="57">
        <v>44378</v>
      </c>
      <c r="D30" s="73" t="s">
        <v>146</v>
      </c>
      <c r="E30" s="73" t="s">
        <v>167</v>
      </c>
      <c r="F30" s="60">
        <v>56504</v>
      </c>
    </row>
    <row r="31" spans="1:10" ht="15" x14ac:dyDescent="0.25">
      <c r="A31" s="66">
        <v>28</v>
      </c>
      <c r="B31" s="69" t="s">
        <v>126</v>
      </c>
      <c r="C31" s="57">
        <v>44390</v>
      </c>
      <c r="D31" s="73" t="s">
        <v>145</v>
      </c>
      <c r="E31" s="73" t="s">
        <v>168</v>
      </c>
      <c r="F31" s="60">
        <v>60638</v>
      </c>
      <c r="G31" s="56"/>
      <c r="H31" s="56"/>
    </row>
    <row r="32" spans="1:10" ht="15" x14ac:dyDescent="0.25">
      <c r="A32" s="66">
        <v>29</v>
      </c>
      <c r="B32" s="69" t="s">
        <v>129</v>
      </c>
      <c r="C32" s="57">
        <v>44419</v>
      </c>
      <c r="D32" s="73" t="s">
        <v>145</v>
      </c>
      <c r="E32" s="73" t="s">
        <v>169</v>
      </c>
      <c r="F32" s="60">
        <v>66150</v>
      </c>
    </row>
    <row r="33" spans="1:6" ht="15" x14ac:dyDescent="0.25">
      <c r="A33" s="66">
        <v>30</v>
      </c>
      <c r="B33" s="69" t="s">
        <v>130</v>
      </c>
      <c r="C33" s="57">
        <v>44495</v>
      </c>
      <c r="D33" s="73" t="s">
        <v>145</v>
      </c>
      <c r="E33" s="73" t="s">
        <v>170</v>
      </c>
      <c r="F33" s="60">
        <v>41580</v>
      </c>
    </row>
    <row r="34" spans="1:6" ht="15" x14ac:dyDescent="0.25">
      <c r="A34" s="66">
        <v>31</v>
      </c>
      <c r="B34" s="69" t="s">
        <v>131</v>
      </c>
      <c r="C34" s="57">
        <v>44410</v>
      </c>
      <c r="D34" s="73" t="s">
        <v>143</v>
      </c>
      <c r="E34" s="73" t="s">
        <v>171</v>
      </c>
      <c r="F34" s="60">
        <v>43680</v>
      </c>
    </row>
    <row r="35" spans="1:6" ht="15" x14ac:dyDescent="0.25">
      <c r="A35" s="66">
        <v>32</v>
      </c>
      <c r="B35" s="69" t="s">
        <v>132</v>
      </c>
      <c r="C35" s="59">
        <v>44654</v>
      </c>
      <c r="D35" s="73" t="s">
        <v>141</v>
      </c>
      <c r="E35" s="73" t="s">
        <v>172</v>
      </c>
      <c r="F35" s="62">
        <v>42874</v>
      </c>
    </row>
    <row r="36" spans="1:6" ht="15" x14ac:dyDescent="0.25">
      <c r="A36" s="66">
        <v>33</v>
      </c>
      <c r="B36" s="69" t="s">
        <v>133</v>
      </c>
      <c r="C36" s="59">
        <v>44657</v>
      </c>
      <c r="D36" s="73" t="s">
        <v>142</v>
      </c>
      <c r="E36" s="73" t="s">
        <v>171</v>
      </c>
      <c r="F36" s="62">
        <v>38220</v>
      </c>
    </row>
    <row r="37" spans="1:6" ht="15" x14ac:dyDescent="0.25">
      <c r="A37" s="66">
        <v>34</v>
      </c>
      <c r="B37" s="69" t="s">
        <v>134</v>
      </c>
      <c r="C37" s="59">
        <v>44655</v>
      </c>
      <c r="D37" s="73" t="s">
        <v>142</v>
      </c>
      <c r="E37" s="73" t="s">
        <v>171</v>
      </c>
      <c r="F37" s="62">
        <v>37127</v>
      </c>
    </row>
    <row r="38" spans="1:6" ht="15" x14ac:dyDescent="0.25">
      <c r="A38" s="66">
        <v>35</v>
      </c>
      <c r="B38" s="69" t="s">
        <v>135</v>
      </c>
      <c r="C38" s="59">
        <v>44700</v>
      </c>
      <c r="D38" s="73" t="s">
        <v>143</v>
      </c>
      <c r="E38" s="73" t="s">
        <v>173</v>
      </c>
      <c r="F38" s="62">
        <v>37800</v>
      </c>
    </row>
    <row r="39" spans="1:6" ht="15" x14ac:dyDescent="0.25">
      <c r="A39" s="66">
        <v>36</v>
      </c>
      <c r="B39" s="69" t="s">
        <v>136</v>
      </c>
      <c r="C39" s="59">
        <v>44599</v>
      </c>
      <c r="D39" s="73" t="s">
        <v>142</v>
      </c>
      <c r="E39" s="73" t="s">
        <v>174</v>
      </c>
      <c r="F39" s="63">
        <v>70350</v>
      </c>
    </row>
    <row r="40" spans="1:6" ht="15" x14ac:dyDescent="0.25">
      <c r="A40" s="66">
        <v>37</v>
      </c>
      <c r="B40" s="69" t="s">
        <v>137</v>
      </c>
      <c r="C40" s="59">
        <v>44585</v>
      </c>
      <c r="D40" s="73" t="s">
        <v>144</v>
      </c>
      <c r="E40" s="73" t="s">
        <v>159</v>
      </c>
      <c r="F40" s="63">
        <v>37088</v>
      </c>
    </row>
    <row r="41" spans="1:6" ht="15" x14ac:dyDescent="0.25">
      <c r="A41" s="66">
        <v>38</v>
      </c>
      <c r="B41" s="69" t="s">
        <v>138</v>
      </c>
      <c r="C41" s="59">
        <v>44634</v>
      </c>
      <c r="D41" s="73" t="s">
        <v>143</v>
      </c>
      <c r="E41" s="73" t="s">
        <v>150</v>
      </c>
      <c r="F41" s="63">
        <v>36370</v>
      </c>
    </row>
    <row r="42" spans="1:6" ht="15" x14ac:dyDescent="0.25">
      <c r="A42" s="66">
        <v>39</v>
      </c>
      <c r="B42" s="69" t="s">
        <v>139</v>
      </c>
      <c r="C42" s="59">
        <v>44713</v>
      </c>
      <c r="D42" s="73" t="s">
        <v>145</v>
      </c>
      <c r="E42" s="73" t="s">
        <v>175</v>
      </c>
      <c r="F42" s="63">
        <v>150150</v>
      </c>
    </row>
    <row r="43" spans="1:6" ht="15" x14ac:dyDescent="0.25">
      <c r="A43" s="67">
        <v>40</v>
      </c>
      <c r="B43" s="69" t="s">
        <v>176</v>
      </c>
      <c r="C43" s="57">
        <v>44935</v>
      </c>
      <c r="D43" s="73" t="s">
        <v>146</v>
      </c>
      <c r="E43" s="73" t="s">
        <v>177</v>
      </c>
      <c r="F43" s="68">
        <v>90000</v>
      </c>
    </row>
    <row r="44" spans="1:6" x14ac:dyDescent="0.2">
      <c r="A44" s="56"/>
      <c r="B44" s="56"/>
      <c r="C44" s="13"/>
      <c r="D44" s="13"/>
      <c r="E44" s="64"/>
      <c r="F44" s="56"/>
    </row>
    <row r="45" spans="1:6" x14ac:dyDescent="0.2">
      <c r="A45" s="58"/>
    </row>
    <row r="47" spans="1:6" x14ac:dyDescent="0.2">
      <c r="D47" s="16"/>
    </row>
  </sheetData>
  <phoneticPr fontId="2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Recommendations</vt:lpstr>
      <vt:lpstr>Summary</vt:lpstr>
      <vt:lpstr>Surplus Sharing</vt:lpstr>
      <vt:lpstr>Sheet1</vt:lpstr>
      <vt:lpstr>Longevity Supplement</vt:lpstr>
    </vt:vector>
  </TitlesOfParts>
  <Company>Town of Lake Lure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Olivia Stewman</cp:lastModifiedBy>
  <cp:lastPrinted>2022-12-07T14:27:44Z</cp:lastPrinted>
  <dcterms:created xsi:type="dcterms:W3CDTF">2014-04-23T19:11:47Z</dcterms:created>
  <dcterms:modified xsi:type="dcterms:W3CDTF">2023-01-17T21:25:10Z</dcterms:modified>
</cp:coreProperties>
</file>